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LYSMY\Desktop\ABC Waters\ABC DC Submission\Calculations\"/>
    </mc:Choice>
  </mc:AlternateContent>
  <workbookProtection workbookAlgorithmName="SHA-512" workbookHashValue="sZJeWtt8QHQ77hE9wi9Fn0cfX0LuPdtbpm4fJ5N9Wos341y1dJgz63ZNhQzDNT8gTg45CVMuVC6UqT41IgHcFg==" workbookSaltValue="GDVsixVjrcJM5+Jn0DWW/Q==" workbookSpinCount="100000" lockStructure="1"/>
  <bookViews>
    <workbookView xWindow="-110" yWindow="-110" windowWidth="19420" windowHeight="11620" xr2:uid="{93C2F8DD-97F3-44AD-A122-9F5D657DB4E9}"/>
  </bookViews>
  <sheets>
    <sheet name="BS_inputs" sheetId="36" r:id="rId1"/>
    <sheet name="BS_backend" sheetId="35" state="hidden" r:id="rId2"/>
    <sheet name="BS_report" sheetId="37" state="hidden" r:id="rId3"/>
    <sheet name="Qlik" sheetId="38" state="hidden" r:id="rId4"/>
    <sheet name="For inputlist" sheetId="34" state="hidden" r:id="rId5"/>
  </sheets>
  <definedNames>
    <definedName name="_xlnm.Print_Area" localSheetId="0">BS_inputs!$A$1:$S$138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9" i="36" l="1"/>
  <c r="Q110" i="36"/>
  <c r="Q111" i="36"/>
  <c r="Q112" i="36"/>
  <c r="Q113" i="36"/>
  <c r="Q114" i="36"/>
  <c r="Q115" i="36"/>
  <c r="Q116" i="36"/>
  <c r="Q117" i="36"/>
  <c r="Q118" i="36"/>
  <c r="N62" i="35"/>
  <c r="N63" i="35"/>
  <c r="N64" i="35"/>
  <c r="N65" i="35"/>
  <c r="N66" i="35"/>
  <c r="N67" i="35"/>
  <c r="N68" i="35"/>
  <c r="N69" i="35"/>
  <c r="N70" i="35"/>
  <c r="N61" i="35"/>
  <c r="M62" i="35"/>
  <c r="M63" i="35"/>
  <c r="M64" i="35"/>
  <c r="M65" i="35"/>
  <c r="M66" i="35"/>
  <c r="M67" i="35"/>
  <c r="M68" i="35"/>
  <c r="M69" i="35"/>
  <c r="M70" i="35"/>
  <c r="M61" i="35"/>
  <c r="L62" i="35"/>
  <c r="L63" i="35"/>
  <c r="L64" i="35"/>
  <c r="L65" i="35"/>
  <c r="L66" i="35"/>
  <c r="L67" i="35"/>
  <c r="L68" i="35"/>
  <c r="L69" i="35"/>
  <c r="L70" i="35"/>
  <c r="L61" i="35"/>
  <c r="J62" i="35"/>
  <c r="J63" i="35"/>
  <c r="J64" i="35"/>
  <c r="J65" i="35"/>
  <c r="J66" i="35"/>
  <c r="J67" i="35"/>
  <c r="J68" i="35"/>
  <c r="J69" i="35"/>
  <c r="J70" i="35"/>
  <c r="J61" i="35"/>
  <c r="I62" i="35"/>
  <c r="I63" i="35"/>
  <c r="I64" i="35"/>
  <c r="I65" i="35"/>
  <c r="I66" i="35"/>
  <c r="I67" i="35"/>
  <c r="I68" i="35"/>
  <c r="I69" i="35"/>
  <c r="I70" i="35"/>
  <c r="I61" i="35"/>
  <c r="H62" i="35"/>
  <c r="H63" i="35"/>
  <c r="H64" i="35"/>
  <c r="H65" i="35"/>
  <c r="H66" i="35"/>
  <c r="H67" i="35"/>
  <c r="H68" i="35"/>
  <c r="H69" i="35"/>
  <c r="H70" i="35"/>
  <c r="H61" i="35"/>
  <c r="F62" i="35"/>
  <c r="F63" i="35"/>
  <c r="F64" i="35"/>
  <c r="F65" i="35"/>
  <c r="F66" i="35"/>
  <c r="F67" i="35"/>
  <c r="F68" i="35"/>
  <c r="F69" i="35"/>
  <c r="F70" i="35"/>
  <c r="F61" i="35"/>
  <c r="E62" i="35"/>
  <c r="E63" i="35"/>
  <c r="E64" i="35"/>
  <c r="E65" i="35"/>
  <c r="E66" i="35"/>
  <c r="E67" i="35"/>
  <c r="E68" i="35"/>
  <c r="E69" i="35"/>
  <c r="E70" i="35"/>
  <c r="E61" i="35"/>
  <c r="D62" i="35"/>
  <c r="D63" i="35"/>
  <c r="D64" i="35"/>
  <c r="D65" i="35"/>
  <c r="D66" i="35"/>
  <c r="D67" i="35"/>
  <c r="D68" i="35"/>
  <c r="D69" i="35"/>
  <c r="D70" i="35"/>
  <c r="D61" i="35"/>
  <c r="T47" i="35"/>
  <c r="Y5" i="37" s="1"/>
  <c r="T48" i="35"/>
  <c r="Y6" i="37" s="1"/>
  <c r="T49" i="35"/>
  <c r="Y7" i="37" s="1"/>
  <c r="T50" i="35"/>
  <c r="Y8" i="37" s="1"/>
  <c r="T51" i="35"/>
  <c r="Y9" i="37" s="1"/>
  <c r="T52" i="35"/>
  <c r="Y10" i="37" s="1"/>
  <c r="T53" i="35"/>
  <c r="Y11" i="37" s="1"/>
  <c r="T54" i="35"/>
  <c r="Y12" i="37" s="1"/>
  <c r="T55" i="35"/>
  <c r="Y13" i="37" s="1"/>
  <c r="T46" i="35"/>
  <c r="Y4" i="37" s="1"/>
  <c r="R47" i="35"/>
  <c r="R48" i="35"/>
  <c r="R49" i="35"/>
  <c r="R50" i="35"/>
  <c r="R51" i="35"/>
  <c r="R52" i="35"/>
  <c r="R53" i="35"/>
  <c r="R54" i="35"/>
  <c r="R55" i="35"/>
  <c r="R46" i="35"/>
  <c r="Q47" i="35"/>
  <c r="Q48" i="35"/>
  <c r="Q49" i="35"/>
  <c r="Q50" i="35"/>
  <c r="Q51" i="35"/>
  <c r="Q52" i="35"/>
  <c r="Q53" i="35"/>
  <c r="Q54" i="35"/>
  <c r="Q55" i="35"/>
  <c r="Q46" i="35"/>
  <c r="P47" i="35"/>
  <c r="P48" i="35"/>
  <c r="P49" i="35"/>
  <c r="P50" i="35"/>
  <c r="P51" i="35"/>
  <c r="P52" i="35"/>
  <c r="P53" i="35"/>
  <c r="P54" i="35"/>
  <c r="P55" i="35"/>
  <c r="P46" i="35"/>
  <c r="O47" i="35"/>
  <c r="O48" i="35"/>
  <c r="O49" i="35"/>
  <c r="O50" i="35"/>
  <c r="O51" i="35"/>
  <c r="O52" i="35"/>
  <c r="O53" i="35"/>
  <c r="O54" i="35"/>
  <c r="O55" i="35"/>
  <c r="O46" i="35"/>
  <c r="M47" i="35"/>
  <c r="N47" i="35" s="1"/>
  <c r="M48" i="35"/>
  <c r="N48" i="35" s="1"/>
  <c r="M49" i="35"/>
  <c r="N49" i="35" s="1"/>
  <c r="M50" i="35"/>
  <c r="N50" i="35" s="1"/>
  <c r="M51" i="35"/>
  <c r="N51" i="35" s="1"/>
  <c r="M52" i="35"/>
  <c r="N52" i="35" s="1"/>
  <c r="M53" i="35"/>
  <c r="N53" i="35" s="1"/>
  <c r="M54" i="35"/>
  <c r="N54" i="35" s="1"/>
  <c r="M55" i="35"/>
  <c r="N55" i="35" s="1"/>
  <c r="M46" i="35"/>
  <c r="N46" i="35" s="1"/>
  <c r="K47" i="35"/>
  <c r="K48" i="35"/>
  <c r="K49" i="35"/>
  <c r="K50" i="35"/>
  <c r="K51" i="35"/>
  <c r="K52" i="35"/>
  <c r="K53" i="35"/>
  <c r="K54" i="35"/>
  <c r="K55" i="35"/>
  <c r="K46" i="35"/>
  <c r="I47" i="35"/>
  <c r="I48" i="35"/>
  <c r="I49" i="35"/>
  <c r="I50" i="35"/>
  <c r="I51" i="35"/>
  <c r="I52" i="35"/>
  <c r="I53" i="35"/>
  <c r="I54" i="35"/>
  <c r="I55" i="35"/>
  <c r="I46" i="35"/>
  <c r="H47" i="35"/>
  <c r="H48" i="35"/>
  <c r="H49" i="35"/>
  <c r="H50" i="35"/>
  <c r="H51" i="35"/>
  <c r="H52" i="35"/>
  <c r="H53" i="35"/>
  <c r="H54" i="35"/>
  <c r="H55" i="35"/>
  <c r="H46" i="35"/>
  <c r="G47" i="35"/>
  <c r="G48" i="35"/>
  <c r="G49" i="35"/>
  <c r="G50" i="35"/>
  <c r="G51" i="35"/>
  <c r="G52" i="35"/>
  <c r="G53" i="35"/>
  <c r="G54" i="35"/>
  <c r="G55" i="35"/>
  <c r="G46" i="35"/>
  <c r="E47" i="35"/>
  <c r="R5" i="37" s="1"/>
  <c r="E48" i="35"/>
  <c r="R6" i="37" s="1"/>
  <c r="E49" i="35"/>
  <c r="R7" i="37" s="1"/>
  <c r="E50" i="35"/>
  <c r="R8" i="37" s="1"/>
  <c r="E51" i="35"/>
  <c r="R9" i="37" s="1"/>
  <c r="E52" i="35"/>
  <c r="R10" i="37" s="1"/>
  <c r="E53" i="35"/>
  <c r="E54" i="35"/>
  <c r="E55" i="35"/>
  <c r="E46" i="35"/>
  <c r="R4" i="37" s="1"/>
  <c r="D47" i="35"/>
  <c r="D48" i="35"/>
  <c r="D49" i="35"/>
  <c r="D50" i="35"/>
  <c r="D51" i="35"/>
  <c r="D52" i="35"/>
  <c r="D53" i="35"/>
  <c r="D54" i="35"/>
  <c r="D55" i="35"/>
  <c r="D46" i="35"/>
  <c r="C47" i="35"/>
  <c r="J47" i="35" s="1"/>
  <c r="T5" i="37" s="1"/>
  <c r="C48" i="35"/>
  <c r="J48" i="35" s="1"/>
  <c r="T6" i="37" s="1"/>
  <c r="C49" i="35"/>
  <c r="J49" i="35" s="1"/>
  <c r="T7" i="37" s="1"/>
  <c r="C50" i="35"/>
  <c r="J50" i="35" s="1"/>
  <c r="T8" i="37" s="1"/>
  <c r="C51" i="35"/>
  <c r="J51" i="35" s="1"/>
  <c r="T9" i="37" s="1"/>
  <c r="C52" i="35"/>
  <c r="J52" i="35" s="1"/>
  <c r="T10" i="37" s="1"/>
  <c r="C53" i="35"/>
  <c r="J53" i="35" s="1"/>
  <c r="T11" i="37" s="1"/>
  <c r="C54" i="35"/>
  <c r="J54" i="35" s="1"/>
  <c r="T12" i="37" s="1"/>
  <c r="C55" i="35"/>
  <c r="J55" i="35" s="1"/>
  <c r="T13" i="37" s="1"/>
  <c r="C46" i="35"/>
  <c r="J46" i="35" s="1"/>
  <c r="T4" i="37" s="1"/>
  <c r="B47" i="35"/>
  <c r="Q5" i="37" s="1"/>
  <c r="B48" i="35"/>
  <c r="Q6" i="37" s="1"/>
  <c r="B49" i="35"/>
  <c r="Q7" i="37" s="1"/>
  <c r="B50" i="35"/>
  <c r="Q8" i="37" s="1"/>
  <c r="B51" i="35"/>
  <c r="Q9" i="37" s="1"/>
  <c r="B52" i="35"/>
  <c r="Q10" i="37" s="1"/>
  <c r="B53" i="35"/>
  <c r="Q11" i="37" s="1"/>
  <c r="B54" i="35"/>
  <c r="Q12" i="37" s="1"/>
  <c r="B55" i="35"/>
  <c r="Q13" i="37" s="1"/>
  <c r="B46" i="35"/>
  <c r="R78" i="36"/>
  <c r="K78" i="36"/>
  <c r="O103" i="36"/>
  <c r="O102" i="36"/>
  <c r="O101" i="36"/>
  <c r="O100" i="36"/>
  <c r="O99" i="36"/>
  <c r="O98" i="36"/>
  <c r="O97" i="36"/>
  <c r="O96" i="36"/>
  <c r="O95" i="36"/>
  <c r="O94" i="36"/>
  <c r="R87" i="36"/>
  <c r="K87" i="36"/>
  <c r="R86" i="36"/>
  <c r="K86" i="36"/>
  <c r="R85" i="36"/>
  <c r="K85" i="36"/>
  <c r="R84" i="36"/>
  <c r="K84" i="36"/>
  <c r="R83" i="36"/>
  <c r="K83" i="36"/>
  <c r="R82" i="36"/>
  <c r="K82" i="36"/>
  <c r="R81" i="36"/>
  <c r="K81" i="36"/>
  <c r="R80" i="36"/>
  <c r="K80" i="36"/>
  <c r="R79" i="36"/>
  <c r="K79" i="36"/>
  <c r="S48" i="35" l="1"/>
  <c r="W6" i="37" s="1"/>
  <c r="O63" i="35"/>
  <c r="O65" i="35"/>
  <c r="AC8" i="37" s="1"/>
  <c r="G66" i="35"/>
  <c r="Z9" i="37" s="1"/>
  <c r="O68" i="35"/>
  <c r="O64" i="35"/>
  <c r="O66" i="35"/>
  <c r="AC9" i="37" s="1"/>
  <c r="R13" i="37"/>
  <c r="R12" i="37"/>
  <c r="R11" i="37"/>
  <c r="Q4" i="37"/>
  <c r="G65" i="35"/>
  <c r="Z8" i="37" s="1"/>
  <c r="G63" i="35"/>
  <c r="Z6" i="37" s="1"/>
  <c r="G70" i="35"/>
  <c r="Z13" i="37" s="1"/>
  <c r="G62" i="35"/>
  <c r="Z5" i="37" s="1"/>
  <c r="S46" i="35"/>
  <c r="L46" i="35"/>
  <c r="L47" i="35"/>
  <c r="O70" i="35"/>
  <c r="AC13" i="37" s="1"/>
  <c r="O61" i="35"/>
  <c r="O62" i="35"/>
  <c r="O69" i="35"/>
  <c r="O67" i="35"/>
  <c r="G68" i="35"/>
  <c r="Z11" i="37" s="1"/>
  <c r="G64" i="35"/>
  <c r="Z7" i="37" s="1"/>
  <c r="G67" i="35"/>
  <c r="Z10" i="37" s="1"/>
  <c r="G69" i="35"/>
  <c r="Z12" i="37" s="1"/>
  <c r="G61" i="35"/>
  <c r="Z4" i="37" s="1"/>
  <c r="S50" i="35"/>
  <c r="S52" i="35"/>
  <c r="S54" i="35"/>
  <c r="L50" i="35"/>
  <c r="L49" i="35"/>
  <c r="L55" i="35"/>
  <c r="L53" i="35"/>
  <c r="U11" i="37" s="1"/>
  <c r="L51" i="35"/>
  <c r="L48" i="35"/>
  <c r="S49" i="35"/>
  <c r="S51" i="35"/>
  <c r="L52" i="35"/>
  <c r="U10" i="37" s="1"/>
  <c r="S53" i="35"/>
  <c r="L54" i="35"/>
  <c r="U12" i="37" s="1"/>
  <c r="S47" i="35"/>
  <c r="S55" i="35"/>
  <c r="AC12" i="37" l="1"/>
  <c r="AC5" i="37"/>
  <c r="AC4" i="37"/>
  <c r="AC7" i="37"/>
  <c r="AC11" i="37"/>
  <c r="AC6" i="37"/>
  <c r="AC10" i="37"/>
  <c r="U5" i="37"/>
  <c r="W4" i="37"/>
  <c r="W11" i="37"/>
  <c r="W7" i="37"/>
  <c r="U8" i="37"/>
  <c r="W9" i="37"/>
  <c r="U6" i="37"/>
  <c r="W8" i="37"/>
  <c r="U13" i="37"/>
  <c r="U7" i="37"/>
  <c r="U4" i="37"/>
  <c r="W12" i="37"/>
  <c r="W13" i="37"/>
  <c r="U9" i="37"/>
  <c r="W10" i="37"/>
  <c r="W5" i="37"/>
  <c r="B16" i="38" l="1"/>
  <c r="B15" i="38"/>
  <c r="B13" i="38"/>
  <c r="B12" i="38"/>
  <c r="B11" i="38"/>
  <c r="B10" i="38"/>
  <c r="B9" i="38"/>
  <c r="B8" i="38"/>
  <c r="B7" i="38"/>
  <c r="B6" i="38"/>
  <c r="B5" i="38"/>
  <c r="B4" i="38"/>
  <c r="B3" i="38"/>
  <c r="B2" i="38"/>
  <c r="B23" i="38"/>
  <c r="B24" i="38" s="1"/>
  <c r="B21" i="38"/>
  <c r="G48" i="36" l="1"/>
  <c r="G49" i="36"/>
  <c r="G50" i="36"/>
  <c r="G51" i="36"/>
  <c r="G52" i="36"/>
  <c r="G53" i="36"/>
  <c r="G54" i="36"/>
  <c r="G55" i="36"/>
  <c r="G56" i="36"/>
  <c r="G47" i="36"/>
  <c r="P33" i="36" l="1"/>
  <c r="P34" i="36"/>
  <c r="P35" i="36"/>
  <c r="P36" i="36"/>
  <c r="P37" i="36"/>
  <c r="P38" i="36"/>
  <c r="P39" i="36"/>
  <c r="P40" i="36"/>
  <c r="P41" i="36"/>
  <c r="P32" i="36"/>
  <c r="A128" i="36" l="1"/>
  <c r="A129" i="36"/>
  <c r="A130" i="36"/>
  <c r="A131" i="36"/>
  <c r="A132" i="36"/>
  <c r="A133" i="36"/>
  <c r="A134" i="36"/>
  <c r="A135" i="36"/>
  <c r="A136" i="36"/>
  <c r="A127" i="36"/>
  <c r="A110" i="36"/>
  <c r="A111" i="36"/>
  <c r="A112" i="36"/>
  <c r="A113" i="36"/>
  <c r="A114" i="36"/>
  <c r="A115" i="36"/>
  <c r="A116" i="36"/>
  <c r="A117" i="36"/>
  <c r="A118" i="36"/>
  <c r="A109" i="36"/>
  <c r="A63" i="36"/>
  <c r="A64" i="36"/>
  <c r="A65" i="36"/>
  <c r="A66" i="36"/>
  <c r="A67" i="36"/>
  <c r="A68" i="36"/>
  <c r="A69" i="36"/>
  <c r="A70" i="36"/>
  <c r="A71" i="36"/>
  <c r="A62" i="36"/>
  <c r="A48" i="36"/>
  <c r="A49" i="36"/>
  <c r="A50" i="36"/>
  <c r="A51" i="36"/>
  <c r="A52" i="36"/>
  <c r="A53" i="36"/>
  <c r="A54" i="36"/>
  <c r="A55" i="36"/>
  <c r="A56" i="36"/>
  <c r="A47" i="36"/>
  <c r="A82" i="36" l="1"/>
  <c r="A50" i="35" s="1"/>
  <c r="A98" i="36"/>
  <c r="A65" i="35" s="1"/>
  <c r="A96" i="36"/>
  <c r="A63" i="35" s="1"/>
  <c r="A80" i="36"/>
  <c r="A48" i="35" s="1"/>
  <c r="A85" i="36"/>
  <c r="A53" i="35" s="1"/>
  <c r="A101" i="36"/>
  <c r="A68" i="35" s="1"/>
  <c r="A87" i="36"/>
  <c r="A55" i="35" s="1"/>
  <c r="A103" i="36"/>
  <c r="A70" i="35" s="1"/>
  <c r="A86" i="36"/>
  <c r="A54" i="35" s="1"/>
  <c r="A102" i="36"/>
  <c r="A69" i="35" s="1"/>
  <c r="A81" i="36"/>
  <c r="A49" i="35" s="1"/>
  <c r="A97" i="36"/>
  <c r="A64" i="35" s="1"/>
  <c r="A78" i="36"/>
  <c r="A46" i="35" s="1"/>
  <c r="A94" i="36"/>
  <c r="A61" i="35" s="1"/>
  <c r="A79" i="36"/>
  <c r="A47" i="35" s="1"/>
  <c r="A95" i="36"/>
  <c r="A62" i="35" s="1"/>
  <c r="A100" i="36"/>
  <c r="A67" i="35" s="1"/>
  <c r="A84" i="36"/>
  <c r="A52" i="35" s="1"/>
  <c r="A83" i="36"/>
  <c r="A51" i="35" s="1"/>
  <c r="A99" i="36"/>
  <c r="A66" i="35" s="1"/>
  <c r="I75" i="35"/>
  <c r="N75" i="35"/>
  <c r="N76" i="35"/>
  <c r="N77" i="35"/>
  <c r="N78" i="35"/>
  <c r="N79" i="35"/>
  <c r="N80" i="35"/>
  <c r="N81" i="35"/>
  <c r="N82" i="35"/>
  <c r="N83" i="35"/>
  <c r="N84" i="35"/>
  <c r="A3" i="35" l="1"/>
  <c r="A4" i="35"/>
  <c r="A5" i="35"/>
  <c r="A6" i="35"/>
  <c r="A7" i="35"/>
  <c r="A8" i="35"/>
  <c r="A9" i="35"/>
  <c r="A10" i="35"/>
  <c r="A11" i="35"/>
  <c r="A12" i="35"/>
  <c r="A17" i="35"/>
  <c r="A18" i="35"/>
  <c r="A19" i="35"/>
  <c r="A20" i="35"/>
  <c r="A21" i="35"/>
  <c r="A22" i="35"/>
  <c r="A23" i="35"/>
  <c r="A24" i="35"/>
  <c r="A25" i="35"/>
  <c r="A26" i="35"/>
  <c r="A31" i="35"/>
  <c r="A32" i="35"/>
  <c r="A33" i="35"/>
  <c r="A34" i="35"/>
  <c r="A35" i="35"/>
  <c r="A36" i="35"/>
  <c r="A37" i="35"/>
  <c r="A38" i="35"/>
  <c r="A39" i="35"/>
  <c r="A40" i="35"/>
  <c r="A75" i="35"/>
  <c r="A76" i="35"/>
  <c r="A77" i="35"/>
  <c r="A78" i="35"/>
  <c r="A79" i="35"/>
  <c r="A80" i="35"/>
  <c r="A81" i="35"/>
  <c r="A82" i="35"/>
  <c r="A83" i="35"/>
  <c r="A84" i="35"/>
  <c r="H17" i="36" l="1"/>
  <c r="B14" i="38" s="1"/>
  <c r="L32" i="35"/>
  <c r="L33" i="35"/>
  <c r="L34" i="35"/>
  <c r="L35" i="35"/>
  <c r="L36" i="35"/>
  <c r="L37" i="35"/>
  <c r="L38" i="35"/>
  <c r="L39" i="35"/>
  <c r="L40" i="35"/>
  <c r="L31" i="35"/>
  <c r="I18" i="35" l="1"/>
  <c r="I19" i="35"/>
  <c r="I20" i="35"/>
  <c r="I21" i="35"/>
  <c r="I22" i="35"/>
  <c r="I23" i="35"/>
  <c r="I24" i="35"/>
  <c r="I25" i="35"/>
  <c r="I26" i="35"/>
  <c r="E3" i="35"/>
  <c r="N48" i="36" l="1"/>
  <c r="N49" i="36"/>
  <c r="N50" i="36"/>
  <c r="N51" i="36"/>
  <c r="N52" i="36"/>
  <c r="N53" i="36"/>
  <c r="N54" i="36"/>
  <c r="N55" i="36"/>
  <c r="N56" i="36"/>
  <c r="N47" i="36"/>
  <c r="P128" i="36" l="1"/>
  <c r="P129" i="36"/>
  <c r="P130" i="36"/>
  <c r="P131" i="36"/>
  <c r="P132" i="36"/>
  <c r="P133" i="36"/>
  <c r="P134" i="36"/>
  <c r="P135" i="36"/>
  <c r="P136" i="36"/>
  <c r="P127" i="36"/>
  <c r="M110" i="36"/>
  <c r="M111" i="36"/>
  <c r="M112" i="36"/>
  <c r="M113" i="36"/>
  <c r="M114" i="36"/>
  <c r="M115" i="36"/>
  <c r="M116" i="36"/>
  <c r="M117" i="36"/>
  <c r="M118" i="36"/>
  <c r="M109" i="36"/>
  <c r="M63" i="36"/>
  <c r="M64" i="36"/>
  <c r="M65" i="36"/>
  <c r="M66" i="36"/>
  <c r="M67" i="36"/>
  <c r="M68" i="36"/>
  <c r="M69" i="36"/>
  <c r="M70" i="36"/>
  <c r="M71" i="36"/>
  <c r="M62" i="36"/>
  <c r="K63" i="36"/>
  <c r="K64" i="36"/>
  <c r="K65" i="36"/>
  <c r="K66" i="36"/>
  <c r="K67" i="36"/>
  <c r="K68" i="36"/>
  <c r="K69" i="36"/>
  <c r="K70" i="36"/>
  <c r="K71" i="36"/>
  <c r="K62" i="36"/>
  <c r="F63" i="36"/>
  <c r="F64" i="36"/>
  <c r="F65" i="36"/>
  <c r="F66" i="36"/>
  <c r="F67" i="36"/>
  <c r="F68" i="36"/>
  <c r="F69" i="36"/>
  <c r="F70" i="36"/>
  <c r="F71" i="36"/>
  <c r="F62" i="36"/>
  <c r="A5" i="37" l="1"/>
  <c r="A6" i="37"/>
  <c r="A7" i="37"/>
  <c r="A8" i="37"/>
  <c r="A9" i="37"/>
  <c r="A10" i="37"/>
  <c r="A11" i="37"/>
  <c r="A12" i="37"/>
  <c r="A13" i="37"/>
  <c r="A4" i="37"/>
  <c r="C32" i="35" l="1"/>
  <c r="C33" i="35"/>
  <c r="C34" i="35"/>
  <c r="C35" i="35"/>
  <c r="C36" i="35"/>
  <c r="C37" i="35"/>
  <c r="C38" i="35"/>
  <c r="C39" i="35"/>
  <c r="C40" i="35"/>
  <c r="K31" i="35" l="1"/>
  <c r="B18" i="35" l="1"/>
  <c r="B19" i="35"/>
  <c r="B20" i="35"/>
  <c r="B21" i="35"/>
  <c r="B22" i="35"/>
  <c r="B23" i="35"/>
  <c r="B24" i="35"/>
  <c r="B25" i="35"/>
  <c r="B26" i="35"/>
  <c r="B17" i="35"/>
  <c r="C31" i="35" l="1"/>
  <c r="B5" i="35" l="1"/>
  <c r="C5" i="35"/>
  <c r="D5" i="35"/>
  <c r="E5" i="35"/>
  <c r="D19" i="35"/>
  <c r="R19" i="35" s="1"/>
  <c r="F48" i="35" s="1"/>
  <c r="E19" i="35"/>
  <c r="H19" i="35" s="1"/>
  <c r="F19" i="35"/>
  <c r="G6" i="37" s="1"/>
  <c r="G19" i="35"/>
  <c r="H6" i="37" s="1"/>
  <c r="J19" i="35"/>
  <c r="I6" i="37" s="1"/>
  <c r="B33" i="35"/>
  <c r="K33" i="35"/>
  <c r="B77" i="35"/>
  <c r="C77" i="35"/>
  <c r="D77" i="35"/>
  <c r="E77" i="35"/>
  <c r="F77" i="35"/>
  <c r="G77" i="35"/>
  <c r="H77" i="35"/>
  <c r="K77" i="35"/>
  <c r="Q77" i="35"/>
  <c r="B6" i="35"/>
  <c r="C6" i="35"/>
  <c r="D6" i="35"/>
  <c r="E6" i="35"/>
  <c r="D20" i="35"/>
  <c r="R20" i="35" s="1"/>
  <c r="F49" i="35" s="1"/>
  <c r="E20" i="35"/>
  <c r="F20" i="35"/>
  <c r="G7" i="37" s="1"/>
  <c r="G20" i="35"/>
  <c r="H7" i="37" s="1"/>
  <c r="J20" i="35"/>
  <c r="I7" i="37" s="1"/>
  <c r="B34" i="35"/>
  <c r="K34" i="35"/>
  <c r="B78" i="35"/>
  <c r="C78" i="35"/>
  <c r="D78" i="35"/>
  <c r="E78" i="35"/>
  <c r="F78" i="35"/>
  <c r="G78" i="35"/>
  <c r="H78" i="35"/>
  <c r="K78" i="35"/>
  <c r="Q78" i="35"/>
  <c r="B7" i="35"/>
  <c r="C7" i="35"/>
  <c r="D7" i="35"/>
  <c r="E7" i="35"/>
  <c r="D21" i="35"/>
  <c r="R21" i="35" s="1"/>
  <c r="F50" i="35" s="1"/>
  <c r="E21" i="35"/>
  <c r="H21" i="35" s="1"/>
  <c r="F21" i="35"/>
  <c r="G21" i="35"/>
  <c r="H8" i="37" s="1"/>
  <c r="J21" i="35"/>
  <c r="I8" i="37" s="1"/>
  <c r="B35" i="35"/>
  <c r="I79" i="35" s="1"/>
  <c r="K35" i="35"/>
  <c r="B79" i="35"/>
  <c r="C79" i="35"/>
  <c r="D79" i="35"/>
  <c r="E79" i="35"/>
  <c r="F79" i="35"/>
  <c r="G79" i="35"/>
  <c r="H79" i="35"/>
  <c r="K79" i="35"/>
  <c r="Q79" i="35"/>
  <c r="B8" i="35"/>
  <c r="C8" i="35"/>
  <c r="D8" i="35"/>
  <c r="E8" i="35"/>
  <c r="D22" i="35"/>
  <c r="R22" i="35" s="1"/>
  <c r="F51" i="35" s="1"/>
  <c r="E22" i="35"/>
  <c r="H22" i="35" s="1"/>
  <c r="F22" i="35"/>
  <c r="G9" i="37" s="1"/>
  <c r="G22" i="35"/>
  <c r="H9" i="37" s="1"/>
  <c r="J22" i="35"/>
  <c r="I9" i="37" s="1"/>
  <c r="B36" i="35"/>
  <c r="I80" i="35" s="1"/>
  <c r="K36" i="35"/>
  <c r="B80" i="35"/>
  <c r="C80" i="35"/>
  <c r="D80" i="35"/>
  <c r="E80" i="35"/>
  <c r="F80" i="35"/>
  <c r="G80" i="35"/>
  <c r="H80" i="35"/>
  <c r="K80" i="35"/>
  <c r="Q80" i="35"/>
  <c r="B9" i="35"/>
  <c r="C9" i="35"/>
  <c r="D9" i="35"/>
  <c r="E9" i="35"/>
  <c r="D23" i="35"/>
  <c r="R23" i="35" s="1"/>
  <c r="F52" i="35" s="1"/>
  <c r="E23" i="35"/>
  <c r="H23" i="35" s="1"/>
  <c r="F23" i="35"/>
  <c r="G10" i="37" s="1"/>
  <c r="G23" i="35"/>
  <c r="H10" i="37" s="1"/>
  <c r="J23" i="35"/>
  <c r="I10" i="37" s="1"/>
  <c r="B37" i="35"/>
  <c r="K37" i="35"/>
  <c r="B81" i="35"/>
  <c r="C81" i="35"/>
  <c r="D81" i="35"/>
  <c r="E81" i="35"/>
  <c r="F81" i="35"/>
  <c r="G81" i="35"/>
  <c r="H81" i="35"/>
  <c r="K81" i="35"/>
  <c r="Q81" i="35"/>
  <c r="B10" i="35"/>
  <c r="C10" i="35"/>
  <c r="D10" i="35"/>
  <c r="E10" i="35"/>
  <c r="D24" i="35"/>
  <c r="R24" i="35" s="1"/>
  <c r="F53" i="35" s="1"/>
  <c r="E24" i="35"/>
  <c r="F24" i="35"/>
  <c r="G11" i="37" s="1"/>
  <c r="G24" i="35"/>
  <c r="H11" i="37" s="1"/>
  <c r="J24" i="35"/>
  <c r="I11" i="37" s="1"/>
  <c r="B38" i="35"/>
  <c r="I82" i="35" s="1"/>
  <c r="K38" i="35"/>
  <c r="B82" i="35"/>
  <c r="C82" i="35"/>
  <c r="D82" i="35"/>
  <c r="E82" i="35"/>
  <c r="F82" i="35"/>
  <c r="G82" i="35"/>
  <c r="H82" i="35"/>
  <c r="K82" i="35"/>
  <c r="Q82" i="35"/>
  <c r="B11" i="35"/>
  <c r="C11" i="35"/>
  <c r="D11" i="35"/>
  <c r="E11" i="35"/>
  <c r="D25" i="35"/>
  <c r="R25" i="35" s="1"/>
  <c r="F54" i="35" s="1"/>
  <c r="E25" i="35"/>
  <c r="H25" i="35" s="1"/>
  <c r="F25" i="35"/>
  <c r="G25" i="35"/>
  <c r="H12" i="37" s="1"/>
  <c r="J25" i="35"/>
  <c r="I12" i="37" s="1"/>
  <c r="B39" i="35"/>
  <c r="I83" i="35" s="1"/>
  <c r="K39" i="35"/>
  <c r="B83" i="35"/>
  <c r="C83" i="35"/>
  <c r="D83" i="35"/>
  <c r="E83" i="35"/>
  <c r="F83" i="35"/>
  <c r="G83" i="35"/>
  <c r="H83" i="35"/>
  <c r="K83" i="35"/>
  <c r="Q83" i="35"/>
  <c r="B12" i="35"/>
  <c r="C12" i="35"/>
  <c r="D12" i="35"/>
  <c r="E12" i="35"/>
  <c r="D26" i="35"/>
  <c r="R26" i="35" s="1"/>
  <c r="F55" i="35" s="1"/>
  <c r="E26" i="35"/>
  <c r="H26" i="35" s="1"/>
  <c r="F26" i="35"/>
  <c r="G13" i="37" s="1"/>
  <c r="G26" i="35"/>
  <c r="H13" i="37" s="1"/>
  <c r="J26" i="35"/>
  <c r="I13" i="37" s="1"/>
  <c r="B40" i="35"/>
  <c r="I84" i="35" s="1"/>
  <c r="K40" i="35"/>
  <c r="B84" i="35"/>
  <c r="C84" i="35"/>
  <c r="D84" i="35"/>
  <c r="E84" i="35"/>
  <c r="F84" i="35"/>
  <c r="G84" i="35"/>
  <c r="H84" i="35"/>
  <c r="K84" i="35"/>
  <c r="Q84" i="35"/>
  <c r="J17" i="35"/>
  <c r="K32" i="35"/>
  <c r="C4" i="35"/>
  <c r="C3" i="35"/>
  <c r="B4" i="35"/>
  <c r="D4" i="35"/>
  <c r="E4" i="35"/>
  <c r="D18" i="35"/>
  <c r="R18" i="35" s="1"/>
  <c r="F47" i="35" s="1"/>
  <c r="E18" i="35"/>
  <c r="F18" i="35"/>
  <c r="G5" i="37" s="1"/>
  <c r="G18" i="35"/>
  <c r="H5" i="37" s="1"/>
  <c r="J18" i="35"/>
  <c r="I5" i="37" s="1"/>
  <c r="B32" i="35"/>
  <c r="I76" i="35" s="1"/>
  <c r="B76" i="35"/>
  <c r="C76" i="35"/>
  <c r="D76" i="35"/>
  <c r="E76" i="35"/>
  <c r="F76" i="35"/>
  <c r="G76" i="35"/>
  <c r="H76" i="35"/>
  <c r="K76" i="35"/>
  <c r="Q76" i="35"/>
  <c r="S8" i="37" l="1"/>
  <c r="V8" i="37"/>
  <c r="X8" i="37"/>
  <c r="S6" i="37"/>
  <c r="X6" i="37"/>
  <c r="V6" i="37"/>
  <c r="S10" i="37"/>
  <c r="V10" i="37"/>
  <c r="X10" i="37"/>
  <c r="S5" i="37"/>
  <c r="V5" i="37"/>
  <c r="X5" i="37"/>
  <c r="V12" i="37"/>
  <c r="S12" i="37"/>
  <c r="X12" i="37"/>
  <c r="S13" i="37"/>
  <c r="V13" i="37"/>
  <c r="X13" i="37"/>
  <c r="V11" i="37"/>
  <c r="S11" i="37"/>
  <c r="X11" i="37"/>
  <c r="S9" i="37"/>
  <c r="X9" i="37"/>
  <c r="V9" i="37"/>
  <c r="S7" i="37"/>
  <c r="V7" i="37"/>
  <c r="X7" i="37"/>
  <c r="I81" i="35"/>
  <c r="I78" i="35"/>
  <c r="I77" i="35"/>
  <c r="Q18" i="35"/>
  <c r="S18" i="35" s="1"/>
  <c r="F5" i="37" s="1"/>
  <c r="Q26" i="35"/>
  <c r="S26" i="35" s="1"/>
  <c r="F13" i="37" s="1"/>
  <c r="Q25" i="35"/>
  <c r="S25" i="35" s="1"/>
  <c r="F12" i="37" s="1"/>
  <c r="Q24" i="35"/>
  <c r="S24" i="35" s="1"/>
  <c r="F11" i="37" s="1"/>
  <c r="Q23" i="35"/>
  <c r="S23" i="35" s="1"/>
  <c r="F10" i="37" s="1"/>
  <c r="Q22" i="35"/>
  <c r="S22" i="35" s="1"/>
  <c r="F9" i="37" s="1"/>
  <c r="Q21" i="35"/>
  <c r="S21" i="35" s="1"/>
  <c r="F8" i="37" s="1"/>
  <c r="Q20" i="35"/>
  <c r="S20" i="35" s="1"/>
  <c r="F7" i="37" s="1"/>
  <c r="Q19" i="35"/>
  <c r="S19" i="35" s="1"/>
  <c r="F6" i="37" s="1"/>
  <c r="I17" i="35"/>
  <c r="I4" i="37" s="1"/>
  <c r="C26" i="35"/>
  <c r="F8" i="35"/>
  <c r="G8" i="35" s="1"/>
  <c r="I8" i="35" s="1"/>
  <c r="F6" i="35"/>
  <c r="G6" i="35" s="1"/>
  <c r="I6" i="35" s="1"/>
  <c r="F7" i="35"/>
  <c r="F10" i="35"/>
  <c r="G10" i="35" s="1"/>
  <c r="M79" i="35"/>
  <c r="M83" i="35"/>
  <c r="M34" i="35"/>
  <c r="N34" i="35" s="1"/>
  <c r="F12" i="35"/>
  <c r="J78" i="35"/>
  <c r="AD7" i="37" s="1"/>
  <c r="K26" i="35"/>
  <c r="M26" i="35" s="1"/>
  <c r="J82" i="35"/>
  <c r="AD11" i="37" s="1"/>
  <c r="D35" i="35"/>
  <c r="E35" i="35" s="1"/>
  <c r="G35" i="35" s="1"/>
  <c r="F11" i="35"/>
  <c r="G11" i="35" s="1"/>
  <c r="M38" i="35"/>
  <c r="F9" i="35"/>
  <c r="G9" i="35" s="1"/>
  <c r="I9" i="35" s="1"/>
  <c r="M36" i="35"/>
  <c r="N36" i="35" s="1"/>
  <c r="K22" i="35"/>
  <c r="M22" i="35" s="1"/>
  <c r="J79" i="35"/>
  <c r="AD8" i="37" s="1"/>
  <c r="M40" i="35"/>
  <c r="N40" i="35" s="1"/>
  <c r="P40" i="35" s="1"/>
  <c r="M78" i="35"/>
  <c r="M84" i="35"/>
  <c r="J83" i="35"/>
  <c r="AD12" i="37" s="1"/>
  <c r="D39" i="35"/>
  <c r="E39" i="35" s="1"/>
  <c r="G39" i="35" s="1"/>
  <c r="C22" i="35"/>
  <c r="C21" i="35"/>
  <c r="G12" i="37"/>
  <c r="G8" i="37"/>
  <c r="D37" i="35"/>
  <c r="C23" i="35"/>
  <c r="K23" i="35"/>
  <c r="M37" i="35"/>
  <c r="M82" i="35"/>
  <c r="J81" i="35"/>
  <c r="AD10" i="37" s="1"/>
  <c r="M81" i="35"/>
  <c r="J80" i="35"/>
  <c r="AD9" i="37" s="1"/>
  <c r="M80" i="35"/>
  <c r="D34" i="35"/>
  <c r="C20" i="35"/>
  <c r="H20" i="35"/>
  <c r="K20" i="35" s="1"/>
  <c r="J84" i="35"/>
  <c r="AD13" i="37" s="1"/>
  <c r="C25" i="35"/>
  <c r="C24" i="35"/>
  <c r="H24" i="35"/>
  <c r="K24" i="35" s="1"/>
  <c r="J77" i="35"/>
  <c r="AD6" i="37" s="1"/>
  <c r="M77" i="35"/>
  <c r="D33" i="35"/>
  <c r="C19" i="35"/>
  <c r="K19" i="35"/>
  <c r="M33" i="35"/>
  <c r="D40" i="35"/>
  <c r="D36" i="35"/>
  <c r="F5" i="35"/>
  <c r="M39" i="35"/>
  <c r="K25" i="35"/>
  <c r="D38" i="35"/>
  <c r="M35" i="35"/>
  <c r="K21" i="35"/>
  <c r="F4" i="35"/>
  <c r="G4" i="35" s="1"/>
  <c r="I4" i="35" s="1"/>
  <c r="J76" i="35"/>
  <c r="AD5" i="37" s="1"/>
  <c r="C18" i="35"/>
  <c r="D32" i="35"/>
  <c r="E32" i="35" s="1"/>
  <c r="G32" i="35" s="1"/>
  <c r="M32" i="35"/>
  <c r="M76" i="35"/>
  <c r="H18" i="35"/>
  <c r="Q75" i="35"/>
  <c r="K75" i="35"/>
  <c r="H75" i="35"/>
  <c r="G75" i="35"/>
  <c r="F75" i="35"/>
  <c r="E75" i="35"/>
  <c r="D75" i="35"/>
  <c r="C75" i="35"/>
  <c r="B75" i="35"/>
  <c r="B31" i="35"/>
  <c r="G17" i="35"/>
  <c r="F17" i="35"/>
  <c r="G4" i="37" s="1"/>
  <c r="E17" i="35"/>
  <c r="H17" i="35" s="1"/>
  <c r="D17" i="35"/>
  <c r="D3" i="35"/>
  <c r="B3" i="35"/>
  <c r="C10" i="37" l="1"/>
  <c r="B67" i="35"/>
  <c r="C7" i="37"/>
  <c r="B64" i="35"/>
  <c r="C9" i="37"/>
  <c r="B66" i="35"/>
  <c r="C5" i="37"/>
  <c r="B62" i="35"/>
  <c r="P36" i="35"/>
  <c r="P34" i="35"/>
  <c r="AG11" i="37"/>
  <c r="O82" i="35"/>
  <c r="AG5" i="37"/>
  <c r="O76" i="35"/>
  <c r="AG12" i="37"/>
  <c r="O83" i="35"/>
  <c r="AG6" i="37"/>
  <c r="O77" i="35"/>
  <c r="AG13" i="37"/>
  <c r="O84" i="35"/>
  <c r="AG8" i="37"/>
  <c r="O79" i="35"/>
  <c r="AG9" i="37"/>
  <c r="O80" i="35"/>
  <c r="AG7" i="37"/>
  <c r="O78" i="35"/>
  <c r="AG10" i="37"/>
  <c r="O81" i="35"/>
  <c r="J75" i="35"/>
  <c r="AD4" i="37" s="1"/>
  <c r="H4" i="35"/>
  <c r="F3" i="35"/>
  <c r="H3" i="35" s="1"/>
  <c r="R17" i="35"/>
  <c r="F46" i="35" s="1"/>
  <c r="M31" i="35"/>
  <c r="H4" i="37"/>
  <c r="H10" i="35"/>
  <c r="H6" i="35"/>
  <c r="K17" i="35"/>
  <c r="Q17" i="35"/>
  <c r="L22" i="35"/>
  <c r="N22" i="35" s="1"/>
  <c r="O22" i="35" s="1"/>
  <c r="P22" i="35" s="1"/>
  <c r="H11" i="35"/>
  <c r="L82" i="35"/>
  <c r="H7" i="35"/>
  <c r="M6" i="35"/>
  <c r="G7" i="35"/>
  <c r="I7" i="35" s="1"/>
  <c r="O34" i="35"/>
  <c r="O40" i="35"/>
  <c r="L83" i="35"/>
  <c r="L79" i="35"/>
  <c r="L26" i="35"/>
  <c r="N26" i="35" s="1"/>
  <c r="O26" i="35" s="1"/>
  <c r="P26" i="35" s="1"/>
  <c r="O36" i="35"/>
  <c r="H8" i="35"/>
  <c r="L78" i="35"/>
  <c r="F35" i="35"/>
  <c r="H35" i="35" s="1"/>
  <c r="F39" i="35"/>
  <c r="G12" i="35"/>
  <c r="I12" i="35" s="1"/>
  <c r="B70" i="35" s="1"/>
  <c r="H12" i="35"/>
  <c r="N38" i="35"/>
  <c r="O38" i="35"/>
  <c r="H9" i="35"/>
  <c r="M9" i="35"/>
  <c r="L81" i="35"/>
  <c r="L84" i="35"/>
  <c r="M8" i="35"/>
  <c r="L77" i="35"/>
  <c r="L80" i="35"/>
  <c r="N39" i="35"/>
  <c r="O39" i="35"/>
  <c r="E33" i="35"/>
  <c r="G33" i="35" s="1"/>
  <c r="F33" i="35"/>
  <c r="I11" i="35"/>
  <c r="F36" i="35"/>
  <c r="E36" i="35"/>
  <c r="G36" i="35" s="1"/>
  <c r="M19" i="35"/>
  <c r="L19" i="35"/>
  <c r="N19" i="35" s="1"/>
  <c r="L20" i="35"/>
  <c r="N20" i="35" s="1"/>
  <c r="M20" i="35"/>
  <c r="I10" i="35"/>
  <c r="M23" i="35"/>
  <c r="L23" i="35"/>
  <c r="N23" i="35" s="1"/>
  <c r="L21" i="35"/>
  <c r="N21" i="35" s="1"/>
  <c r="M21" i="35"/>
  <c r="G5" i="35"/>
  <c r="E34" i="35"/>
  <c r="G34" i="35" s="1"/>
  <c r="F34" i="35"/>
  <c r="H5" i="35"/>
  <c r="N35" i="35"/>
  <c r="O35" i="35"/>
  <c r="L25" i="35"/>
  <c r="N25" i="35" s="1"/>
  <c r="M25" i="35"/>
  <c r="F40" i="35"/>
  <c r="E40" i="35"/>
  <c r="G40" i="35" s="1"/>
  <c r="O37" i="35"/>
  <c r="N37" i="35"/>
  <c r="E37" i="35"/>
  <c r="G37" i="35" s="1"/>
  <c r="F37" i="35"/>
  <c r="O33" i="35"/>
  <c r="N33" i="35"/>
  <c r="L24" i="35"/>
  <c r="N24" i="35" s="1"/>
  <c r="M24" i="35"/>
  <c r="E38" i="35"/>
  <c r="G38" i="35" s="1"/>
  <c r="F38" i="35"/>
  <c r="L76" i="35"/>
  <c r="F32" i="35"/>
  <c r="M4" i="35"/>
  <c r="C17" i="35"/>
  <c r="N32" i="35"/>
  <c r="O32" i="35"/>
  <c r="K18" i="35"/>
  <c r="M75" i="35"/>
  <c r="O75" i="35" s="1"/>
  <c r="D31" i="35"/>
  <c r="F31" i="35" s="1"/>
  <c r="B12" i="37" l="1"/>
  <c r="B9" i="37"/>
  <c r="C66" i="35"/>
  <c r="K66" i="35" s="1"/>
  <c r="B6" i="37"/>
  <c r="B7" i="37"/>
  <c r="C64" i="35"/>
  <c r="K64" i="35" s="1"/>
  <c r="B10" i="37"/>
  <c r="C67" i="35"/>
  <c r="K67" i="35" s="1"/>
  <c r="B11" i="37"/>
  <c r="C68" i="35"/>
  <c r="K68" i="35" s="1"/>
  <c r="C12" i="37"/>
  <c r="B69" i="35"/>
  <c r="C69" i="35" s="1"/>
  <c r="K69" i="35" s="1"/>
  <c r="B13" i="37"/>
  <c r="C70" i="35"/>
  <c r="K70" i="35" s="1"/>
  <c r="C8" i="37"/>
  <c r="B65" i="35"/>
  <c r="B8" i="37"/>
  <c r="C65" i="35"/>
  <c r="K65" i="35" s="1"/>
  <c r="B5" i="37"/>
  <c r="C62" i="35"/>
  <c r="K62" i="35" s="1"/>
  <c r="C11" i="37"/>
  <c r="B68" i="35"/>
  <c r="S4" i="37"/>
  <c r="X4" i="37"/>
  <c r="V4" i="37"/>
  <c r="P35" i="35"/>
  <c r="P37" i="35"/>
  <c r="P39" i="35"/>
  <c r="Q39" i="35" s="1"/>
  <c r="P33" i="35"/>
  <c r="Q33" i="35" s="1"/>
  <c r="R33" i="35" s="1"/>
  <c r="P38" i="35"/>
  <c r="Q38" i="35" s="1"/>
  <c r="P32" i="35"/>
  <c r="Q32" i="35" s="1"/>
  <c r="AH5" i="37"/>
  <c r="AE5" i="37"/>
  <c r="M12" i="35"/>
  <c r="C13" i="37"/>
  <c r="AE7" i="37"/>
  <c r="AH4" i="37"/>
  <c r="AG4" i="37"/>
  <c r="AH13" i="37"/>
  <c r="AE12" i="37"/>
  <c r="AE11" i="37"/>
  <c r="AH12" i="37"/>
  <c r="AH8" i="37"/>
  <c r="AE8" i="37"/>
  <c r="L75" i="35"/>
  <c r="S17" i="35"/>
  <c r="F4" i="37" s="1"/>
  <c r="N6" i="35"/>
  <c r="E7" i="37" s="1"/>
  <c r="N31" i="35"/>
  <c r="O31" i="35"/>
  <c r="H39" i="35"/>
  <c r="I39" i="35" s="1"/>
  <c r="Q36" i="35"/>
  <c r="R36" i="35" s="1"/>
  <c r="Q40" i="35"/>
  <c r="R40" i="35" s="1"/>
  <c r="S40" i="35" s="1"/>
  <c r="O13" i="37" s="1"/>
  <c r="H32" i="35"/>
  <c r="I32" i="35" s="1"/>
  <c r="I35" i="35"/>
  <c r="J35" i="35" s="1"/>
  <c r="Q34" i="35"/>
  <c r="R34" i="35" s="1"/>
  <c r="N4" i="35"/>
  <c r="E5" i="37" s="1"/>
  <c r="N9" i="35"/>
  <c r="E10" i="37" s="1"/>
  <c r="N8" i="35"/>
  <c r="E9" i="37" s="1"/>
  <c r="N12" i="35"/>
  <c r="E13" i="37" s="1"/>
  <c r="J9" i="37"/>
  <c r="J13" i="37"/>
  <c r="M11" i="35"/>
  <c r="N11" i="35" s="1"/>
  <c r="E12" i="37" s="1"/>
  <c r="AH11" i="37"/>
  <c r="M10" i="35"/>
  <c r="N10" i="35" s="1"/>
  <c r="E11" i="37" s="1"/>
  <c r="AE9" i="37"/>
  <c r="AE13" i="37"/>
  <c r="AE10" i="37"/>
  <c r="AE6" i="37"/>
  <c r="M7" i="35"/>
  <c r="N7" i="35" s="1"/>
  <c r="E8" i="37" s="1"/>
  <c r="AH10" i="37"/>
  <c r="AH9" i="37"/>
  <c r="AH6" i="37"/>
  <c r="AH7" i="37"/>
  <c r="H37" i="35"/>
  <c r="I37" i="35" s="1"/>
  <c r="H36" i="35"/>
  <c r="H33" i="35"/>
  <c r="I33" i="35" s="1"/>
  <c r="O25" i="35"/>
  <c r="P25" i="35" s="1"/>
  <c r="O21" i="35"/>
  <c r="P21" i="35" s="1"/>
  <c r="H38" i="35"/>
  <c r="O19" i="35"/>
  <c r="P19" i="35" s="1"/>
  <c r="O24" i="35"/>
  <c r="P24" i="35" s="1"/>
  <c r="H34" i="35"/>
  <c r="Q35" i="35"/>
  <c r="R35" i="35" s="1"/>
  <c r="Q37" i="35"/>
  <c r="R37" i="35" s="1"/>
  <c r="H40" i="35"/>
  <c r="I5" i="35"/>
  <c r="O23" i="35"/>
  <c r="P23" i="35" s="1"/>
  <c r="O20" i="35"/>
  <c r="P20" i="35" s="1"/>
  <c r="M18" i="35"/>
  <c r="L18" i="35"/>
  <c r="N18" i="35" s="1"/>
  <c r="E31" i="35"/>
  <c r="G31" i="35" s="1"/>
  <c r="H31" i="35" s="1"/>
  <c r="I31" i="35" s="1"/>
  <c r="AA12" i="37" l="1"/>
  <c r="AB12" i="37"/>
  <c r="AA11" i="37"/>
  <c r="AB11" i="37"/>
  <c r="AA5" i="37"/>
  <c r="AB5" i="37"/>
  <c r="C6" i="37"/>
  <c r="B63" i="35"/>
  <c r="C63" i="35" s="1"/>
  <c r="K63" i="35" s="1"/>
  <c r="AA10" i="37"/>
  <c r="AB10" i="37"/>
  <c r="AA8" i="37"/>
  <c r="AB8" i="37"/>
  <c r="AA7" i="37"/>
  <c r="AB7" i="37"/>
  <c r="AA13" i="37"/>
  <c r="AB13" i="37"/>
  <c r="AA9" i="37"/>
  <c r="AB9" i="37"/>
  <c r="P31" i="35"/>
  <c r="Q31" i="35" s="1"/>
  <c r="AE4" i="37"/>
  <c r="L8" i="37"/>
  <c r="M8" i="37"/>
  <c r="I40" i="35"/>
  <c r="J40" i="35" s="1"/>
  <c r="J32" i="35"/>
  <c r="J39" i="35"/>
  <c r="S37" i="35"/>
  <c r="J37" i="35"/>
  <c r="M10" i="37" s="1"/>
  <c r="I34" i="35"/>
  <c r="J34" i="35" s="1"/>
  <c r="R38" i="35"/>
  <c r="S33" i="35"/>
  <c r="S34" i="35"/>
  <c r="O7" i="37" s="1"/>
  <c r="S36" i="35"/>
  <c r="O9" i="37" s="1"/>
  <c r="R39" i="35"/>
  <c r="R32" i="35"/>
  <c r="S35" i="35"/>
  <c r="J33" i="35"/>
  <c r="L6" i="37" s="1"/>
  <c r="I36" i="35"/>
  <c r="J36" i="35" s="1"/>
  <c r="I38" i="35"/>
  <c r="J38" i="35" s="1"/>
  <c r="N13" i="37"/>
  <c r="T40" i="35"/>
  <c r="P13" i="37" s="1"/>
  <c r="J10" i="37"/>
  <c r="J12" i="37"/>
  <c r="J7" i="37"/>
  <c r="J11" i="37"/>
  <c r="J6" i="37"/>
  <c r="J8" i="37"/>
  <c r="M5" i="35"/>
  <c r="N5" i="35" s="1"/>
  <c r="E6" i="37" s="1"/>
  <c r="L17" i="35"/>
  <c r="N17" i="35" s="1"/>
  <c r="O18" i="35"/>
  <c r="P18" i="35" s="1"/>
  <c r="J31" i="35"/>
  <c r="L4" i="37" s="1"/>
  <c r="B4" i="37"/>
  <c r="G3" i="35"/>
  <c r="AA6" i="37" l="1"/>
  <c r="AB6" i="37"/>
  <c r="I3" i="35"/>
  <c r="S38" i="35"/>
  <c r="O11" i="37" s="1"/>
  <c r="S32" i="35"/>
  <c r="O5" i="37" s="1"/>
  <c r="S39" i="35"/>
  <c r="O12" i="37" s="1"/>
  <c r="N6" i="37"/>
  <c r="O6" i="37"/>
  <c r="T37" i="35"/>
  <c r="P10" i="37" s="1"/>
  <c r="O10" i="37"/>
  <c r="J5" i="37"/>
  <c r="N8" i="37"/>
  <c r="O8" i="37"/>
  <c r="R31" i="35"/>
  <c r="M6" i="37"/>
  <c r="T35" i="35"/>
  <c r="P8" i="37" s="1"/>
  <c r="T33" i="35"/>
  <c r="P6" i="37" s="1"/>
  <c r="N10" i="37"/>
  <c r="L10" i="37"/>
  <c r="M13" i="37"/>
  <c r="L13" i="37"/>
  <c r="M11" i="37"/>
  <c r="L11" i="37"/>
  <c r="M9" i="37"/>
  <c r="L9" i="37"/>
  <c r="T38" i="35"/>
  <c r="P11" i="37" s="1"/>
  <c r="N11" i="37"/>
  <c r="M7" i="37"/>
  <c r="L7" i="37"/>
  <c r="T36" i="35"/>
  <c r="P9" i="37" s="1"/>
  <c r="N9" i="37"/>
  <c r="N7" i="37"/>
  <c r="T34" i="35"/>
  <c r="P7" i="37" s="1"/>
  <c r="M12" i="37"/>
  <c r="L12" i="37"/>
  <c r="L5" i="37"/>
  <c r="M5" i="37"/>
  <c r="M17" i="35"/>
  <c r="O17" i="35" s="1"/>
  <c r="M4" i="37"/>
  <c r="T32" i="35" l="1"/>
  <c r="P5" i="37" s="1"/>
  <c r="C4" i="37"/>
  <c r="B61" i="35"/>
  <c r="C61" i="35" s="1"/>
  <c r="K61" i="35" s="1"/>
  <c r="N5" i="37"/>
  <c r="N12" i="37"/>
  <c r="T39" i="35"/>
  <c r="P12" i="37" s="1"/>
  <c r="S31" i="35"/>
  <c r="O4" i="37" s="1"/>
  <c r="K4" i="35"/>
  <c r="L4" i="35" s="1"/>
  <c r="AJ5" i="37" s="1"/>
  <c r="K7" i="35"/>
  <c r="L7" i="35" s="1"/>
  <c r="AJ8" i="37" s="1"/>
  <c r="K8" i="35"/>
  <c r="L8" i="35" s="1"/>
  <c r="AJ9" i="37" s="1"/>
  <c r="K6" i="35"/>
  <c r="L6" i="35" s="1"/>
  <c r="AJ7" i="37" s="1"/>
  <c r="K9" i="35"/>
  <c r="L9" i="35" s="1"/>
  <c r="AJ10" i="37" s="1"/>
  <c r="K10" i="35"/>
  <c r="L10" i="35" s="1"/>
  <c r="AJ11" i="37" s="1"/>
  <c r="K5" i="35"/>
  <c r="L5" i="35" s="1"/>
  <c r="AJ6" i="37" s="1"/>
  <c r="K11" i="35"/>
  <c r="L11" i="35" s="1"/>
  <c r="AJ12" i="37" s="1"/>
  <c r="K12" i="35"/>
  <c r="L12" i="35" s="1"/>
  <c r="AJ13" i="37" s="1"/>
  <c r="M3" i="35"/>
  <c r="N3" i="35" s="1"/>
  <c r="E4" i="37" s="1"/>
  <c r="K3" i="35"/>
  <c r="P17" i="35"/>
  <c r="N4" i="37"/>
  <c r="AA4" i="37" l="1"/>
  <c r="AB4" i="37"/>
  <c r="AK12" i="37"/>
  <c r="AI12" i="37"/>
  <c r="AF12" i="37"/>
  <c r="K12" i="37"/>
  <c r="AK9" i="37"/>
  <c r="AF9" i="37"/>
  <c r="K9" i="37"/>
  <c r="AI9" i="37"/>
  <c r="AK11" i="37"/>
  <c r="AI11" i="37"/>
  <c r="AF11" i="37"/>
  <c r="K11" i="37"/>
  <c r="AK8" i="37"/>
  <c r="AF8" i="37"/>
  <c r="AI8" i="37"/>
  <c r="K8" i="37"/>
  <c r="J4" i="37"/>
  <c r="AK7" i="37"/>
  <c r="AI7" i="37"/>
  <c r="AF7" i="37"/>
  <c r="K7" i="37"/>
  <c r="AK6" i="37"/>
  <c r="AI6" i="37"/>
  <c r="AF6" i="37"/>
  <c r="K6" i="37"/>
  <c r="AK13" i="37"/>
  <c r="AF13" i="37"/>
  <c r="AI13" i="37"/>
  <c r="K13" i="37"/>
  <c r="AK10" i="37"/>
  <c r="AI10" i="37"/>
  <c r="AF10" i="37"/>
  <c r="K10" i="37"/>
  <c r="AK5" i="37"/>
  <c r="AF5" i="37"/>
  <c r="AI5" i="37"/>
  <c r="K5" i="37"/>
  <c r="L3" i="35"/>
  <c r="D5" i="37"/>
  <c r="D9" i="37"/>
  <c r="D8" i="37"/>
  <c r="D13" i="37"/>
  <c r="D10" i="37"/>
  <c r="D6" i="37"/>
  <c r="D11" i="37"/>
  <c r="D12" i="37"/>
  <c r="D7" i="37"/>
  <c r="T31" i="35"/>
  <c r="P4" i="37" s="1"/>
  <c r="K4" i="37" l="1"/>
  <c r="AJ4" i="37"/>
  <c r="AK4" i="37"/>
  <c r="AI4" i="37"/>
  <c r="AF4" i="37"/>
  <c r="D4" i="37"/>
  <c r="B41" i="34" l="1"/>
  <c r="B40" i="34" l="1"/>
  <c r="D45" i="34"/>
  <c r="D46" i="34"/>
  <c r="D51" i="34"/>
  <c r="D44" i="34"/>
  <c r="D48" i="34"/>
  <c r="D54" i="34"/>
  <c r="D50" i="34"/>
  <c r="D55" i="34"/>
  <c r="D47" i="34"/>
  <c r="D52" i="34"/>
  <c r="D53" i="34"/>
  <c r="D49" i="34"/>
  <c r="B39" i="34" l="1"/>
  <c r="B21" i="34"/>
  <c r="D25" i="34" l="1"/>
  <c r="D30" i="34"/>
  <c r="D35" i="34"/>
  <c r="D26" i="34"/>
  <c r="D31" i="34"/>
  <c r="D24" i="34"/>
  <c r="D27" i="34"/>
  <c r="D32" i="34"/>
  <c r="D28" i="34"/>
  <c r="D34" i="34"/>
  <c r="D33" i="34"/>
  <c r="D29" i="34"/>
  <c r="C48" i="34"/>
  <c r="E48" i="34" s="1"/>
  <c r="C45" i="34"/>
  <c r="E45" i="34" s="1"/>
  <c r="C44" i="34"/>
  <c r="E44" i="34" s="1"/>
  <c r="C52" i="34"/>
  <c r="E52" i="34" s="1"/>
  <c r="C51" i="34"/>
  <c r="E51" i="34" s="1"/>
  <c r="C50" i="34"/>
  <c r="E50" i="34" s="1"/>
  <c r="C54" i="34"/>
  <c r="E54" i="34" s="1"/>
  <c r="C49" i="34"/>
  <c r="E49" i="34" s="1"/>
  <c r="C55" i="34"/>
  <c r="E55" i="34" s="1"/>
  <c r="C46" i="34"/>
  <c r="E46" i="34" s="1"/>
  <c r="C47" i="34"/>
  <c r="E47" i="34" s="1"/>
  <c r="C53" i="34"/>
  <c r="E53" i="34" s="1"/>
  <c r="B19" i="34" l="1"/>
  <c r="E56" i="34"/>
  <c r="B20" i="34"/>
  <c r="C28" i="34" l="1"/>
  <c r="E28" i="34" s="1"/>
  <c r="C35" i="34"/>
  <c r="E35" i="34" s="1"/>
  <c r="C34" i="34"/>
  <c r="E34" i="34" s="1"/>
  <c r="C31" i="34"/>
  <c r="E31" i="34" s="1"/>
  <c r="C33" i="34"/>
  <c r="E33" i="34" s="1"/>
  <c r="C29" i="34"/>
  <c r="E29" i="34" s="1"/>
  <c r="C26" i="34"/>
  <c r="E26" i="34" s="1"/>
  <c r="C32" i="34"/>
  <c r="E32" i="34" s="1"/>
  <c r="C27" i="34"/>
  <c r="E27" i="34" s="1"/>
  <c r="C24" i="34"/>
  <c r="E24" i="34" s="1"/>
  <c r="C25" i="34"/>
  <c r="E25" i="34" s="1"/>
  <c r="C30" i="34"/>
  <c r="E30" i="34" s="1"/>
  <c r="E36" i="34" l="1"/>
</calcChain>
</file>

<file path=xl/sharedStrings.xml><?xml version="1.0" encoding="utf-8"?>
<sst xmlns="http://schemas.openxmlformats.org/spreadsheetml/2006/main" count="466" uniqueCount="345">
  <si>
    <t>%</t>
  </si>
  <si>
    <t>m/s</t>
  </si>
  <si>
    <t>A</t>
  </si>
  <si>
    <t>Date:</t>
  </si>
  <si>
    <t>C</t>
  </si>
  <si>
    <r>
      <t>Minor Flow Depth, Y</t>
    </r>
    <r>
      <rPr>
        <vertAlign val="subscript"/>
        <sz val="12"/>
        <color theme="1"/>
        <rFont val="Arial"/>
        <family val="2"/>
      </rPr>
      <t xml:space="preserve">minor </t>
    </r>
    <r>
      <rPr>
        <sz val="12"/>
        <color theme="1"/>
        <rFont val="Arial"/>
        <family val="2"/>
      </rPr>
      <t>(m)</t>
    </r>
  </si>
  <si>
    <r>
      <t>Swale Actual Velocity, V</t>
    </r>
    <r>
      <rPr>
        <vertAlign val="subscript"/>
        <sz val="12"/>
        <color theme="1"/>
        <rFont val="Arial"/>
        <family val="2"/>
      </rPr>
      <t xml:space="preserve">minor </t>
    </r>
    <r>
      <rPr>
        <sz val="12"/>
        <color theme="1"/>
        <rFont val="Arial"/>
        <family val="2"/>
      </rPr>
      <t>(m/s)</t>
    </r>
  </si>
  <si>
    <r>
      <t>Swale Actual Velocity, V</t>
    </r>
    <r>
      <rPr>
        <vertAlign val="subscript"/>
        <sz val="12"/>
        <color theme="1"/>
        <rFont val="Arial"/>
        <family val="2"/>
      </rPr>
      <t xml:space="preserve">major </t>
    </r>
    <r>
      <rPr>
        <sz val="12"/>
        <color theme="1"/>
        <rFont val="Arial"/>
        <family val="2"/>
      </rPr>
      <t>(m/s)</t>
    </r>
  </si>
  <si>
    <r>
      <t>V</t>
    </r>
    <r>
      <rPr>
        <vertAlign val="subscript"/>
        <sz val="12"/>
        <color theme="1"/>
        <rFont val="Arial"/>
        <family val="2"/>
      </rPr>
      <t>major</t>
    </r>
    <r>
      <rPr>
        <sz val="12"/>
        <color theme="1"/>
        <rFont val="Arial"/>
        <family val="2"/>
      </rPr>
      <t xml:space="preserve"> x Y</t>
    </r>
    <r>
      <rPr>
        <vertAlign val="subscript"/>
        <sz val="12"/>
        <color theme="1"/>
        <rFont val="Arial"/>
        <family val="2"/>
      </rPr>
      <t>major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/s)</t>
    </r>
  </si>
  <si>
    <r>
      <t>Weir Coefficient, C</t>
    </r>
    <r>
      <rPr>
        <vertAlign val="subscript"/>
        <sz val="12"/>
        <rFont val="Arial"/>
        <family val="2"/>
      </rPr>
      <t>w</t>
    </r>
  </si>
  <si>
    <t>Weir Condition Check</t>
  </si>
  <si>
    <t>Orifice Condition Check</t>
  </si>
  <si>
    <r>
      <t>Orifice Coefficient, C</t>
    </r>
    <r>
      <rPr>
        <vertAlign val="subscript"/>
        <sz val="12"/>
        <color theme="1"/>
        <rFont val="Arial"/>
        <family val="2"/>
      </rPr>
      <t>d</t>
    </r>
  </si>
  <si>
    <t>Roughness Coefficient, n</t>
  </si>
  <si>
    <r>
      <t>Orifice Discharge Coefficient, C</t>
    </r>
    <r>
      <rPr>
        <vertAlign val="subscript"/>
        <sz val="12"/>
        <color theme="1"/>
        <rFont val="Arial"/>
        <family val="2"/>
      </rPr>
      <t>d</t>
    </r>
  </si>
  <si>
    <r>
      <t>Total Weir Discharge, Q</t>
    </r>
    <r>
      <rPr>
        <vertAlign val="subscript"/>
        <sz val="12"/>
        <color theme="1"/>
        <rFont val="Arial"/>
        <family val="2"/>
      </rPr>
      <t xml:space="preserve">weir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</si>
  <si>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Orifice Discharge, Q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</si>
  <si>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Opening Area, A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</si>
  <si>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Max Flow Depth Above Sump, h</t>
    </r>
    <r>
      <rPr>
        <vertAlign val="subscript"/>
        <sz val="12"/>
        <rFont val="Arial"/>
        <family val="2"/>
      </rPr>
      <t>w</t>
    </r>
    <r>
      <rPr>
        <sz val="12"/>
        <rFont val="Arial"/>
        <family val="2"/>
      </rPr>
      <t xml:space="preserve"> (m)</t>
    </r>
  </si>
  <si>
    <t>Sump Shape</t>
  </si>
  <si>
    <t>Bioretention Basin</t>
  </si>
  <si>
    <t>Bioretention Swale</t>
  </si>
  <si>
    <t>3mth RF intensity (mm/hr)</t>
  </si>
  <si>
    <t>RF duration (min)</t>
  </si>
  <si>
    <t>MAX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</si>
  <si>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</si>
  <si>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out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</si>
  <si>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Storage V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</si>
  <si>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max</t>
    </r>
  </si>
  <si>
    <r>
      <t>Swale Actual Flowrate, Q</t>
    </r>
    <r>
      <rPr>
        <vertAlign val="subscript"/>
        <sz val="12"/>
        <color theme="1"/>
        <rFont val="Arial"/>
        <family val="2"/>
      </rPr>
      <t>actual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</si>
  <si>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Major Flow Depth, Y</t>
    </r>
    <r>
      <rPr>
        <vertAlign val="subscript"/>
        <sz val="12"/>
        <color theme="1"/>
        <rFont val="Arial"/>
        <family val="2"/>
      </rPr>
      <t xml:space="preserve">major </t>
    </r>
    <r>
      <rPr>
        <sz val="12"/>
        <color theme="1"/>
        <rFont val="Arial"/>
        <family val="2"/>
      </rPr>
      <t>(m)</t>
    </r>
  </si>
  <si>
    <t>Overflow weir</t>
  </si>
  <si>
    <t>Type of overflow structure</t>
  </si>
  <si>
    <t>Rectangular sump</t>
  </si>
  <si>
    <t>Circular sump</t>
  </si>
  <si>
    <t>Name</t>
  </si>
  <si>
    <t>Imperv catchment
(m2)</t>
  </si>
  <si>
    <t>Perv catchment
(m2)</t>
  </si>
  <si>
    <t>Imperv Runoff Coeff
(C)</t>
  </si>
  <si>
    <t>Perv Runoff Coeff
(C)</t>
  </si>
  <si>
    <t>Weighted Runoff Coeff
(C)</t>
  </si>
  <si>
    <t xml:space="preserve">Catchment </t>
  </si>
  <si>
    <t>Climate Change modifier (%)</t>
  </si>
  <si>
    <t>Total Area
(m2)</t>
  </si>
  <si>
    <t>Total Area
(ha)</t>
  </si>
  <si>
    <r>
      <t>Time of Concentration, t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(min)</t>
    </r>
  </si>
  <si>
    <r>
      <t>Minor Rainfall intensity I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 xml:space="preserve">
(mm/hr)</t>
    </r>
  </si>
  <si>
    <r>
      <t>Major Rainfall intensity I</t>
    </r>
    <r>
      <rPr>
        <vertAlign val="subscript"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 xml:space="preserve">
(mm/hr)</t>
    </r>
  </si>
  <si>
    <r>
      <t>Minor Peak Runoff, Q</t>
    </r>
    <r>
      <rPr>
        <vertAlign val="subscript"/>
        <sz val="12"/>
        <color theme="1"/>
        <rFont val="Arial"/>
        <family val="2"/>
      </rPr>
      <t xml:space="preserve">r10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</si>
  <si>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r100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</si>
  <si>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t>Runoff</t>
  </si>
  <si>
    <t>Top width
(m)</t>
  </si>
  <si>
    <t>Base width
(m)</t>
  </si>
  <si>
    <t>Swale depth
(m)</t>
  </si>
  <si>
    <t>Side slope
1:x</t>
  </si>
  <si>
    <t>Long slope
1:x</t>
  </si>
  <si>
    <t>Depth/ Veg. Ht
(%)</t>
  </si>
  <si>
    <t>Manning's roughness, n</t>
  </si>
  <si>
    <t>Top Flow Width
(m)</t>
  </si>
  <si>
    <t>Side slope length
(m)</t>
  </si>
  <si>
    <r>
      <t>Flow Area, A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</si>
  <si>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Wetted P (m)</t>
  </si>
  <si>
    <t>Hydraulic R (m)</t>
  </si>
  <si>
    <r>
      <t>Swale Q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</si>
  <si>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t>Minor Flow Top Width (m)</t>
  </si>
  <si>
    <t>Minor Flow Side Slope Length (m)</t>
  </si>
  <si>
    <r>
      <t>Minor Flow Area, A (m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</si>
  <si>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>Minor Flow Wetted Perimeter, P (m)</t>
  </si>
  <si>
    <t>Minor Flow Hydraulic Radius, R (m)</t>
  </si>
  <si>
    <t>Major Flow Top Width (m)</t>
  </si>
  <si>
    <t>Major Flow Side Slope Length (m)</t>
  </si>
  <si>
    <r>
      <t>Major Flow Area, A (m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</si>
  <si>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>Major Flow Wetted Perimeter, P (m)</t>
  </si>
  <si>
    <t>Major Flow Hydraulic Radius, R (m)</t>
  </si>
  <si>
    <t>Minor Flow Velocity Check</t>
  </si>
  <si>
    <t>Major Flow Velocity Check</t>
  </si>
  <si>
    <t>Swale Hydraulic Capacity Check</t>
  </si>
  <si>
    <t>No. of overflow structure</t>
  </si>
  <si>
    <t>Rectangular sump length 
(m)</t>
  </si>
  <si>
    <t>Rectangular sump width
(m)</t>
  </si>
  <si>
    <t>Circular sump dia.
(m)</t>
  </si>
  <si>
    <t>Weir length
(m)</t>
  </si>
  <si>
    <t>Total weir length
(m)</t>
  </si>
  <si>
    <t>Blockage Factor</t>
  </si>
  <si>
    <t>Overflow Structure</t>
  </si>
  <si>
    <r>
      <t>Flow Depth (15% FB),Y</t>
    </r>
    <r>
      <rPr>
        <vertAlign val="subscript"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(m)</t>
    </r>
  </si>
  <si>
    <t>3-5%</t>
  </si>
  <si>
    <t>Tally</t>
  </si>
  <si>
    <t>&gt;4</t>
  </si>
  <si>
    <t>1-4%</t>
  </si>
  <si>
    <t>Fig 6.7</t>
  </si>
  <si>
    <t>Velocity Check</t>
  </si>
  <si>
    <t>Swale Dimensions</t>
  </si>
  <si>
    <t>&lt; 0.5</t>
  </si>
  <si>
    <t>&lt; 2.0</t>
  </si>
  <si>
    <r>
      <t>Q</t>
    </r>
    <r>
      <rPr>
        <vertAlign val="subscript"/>
        <sz val="12"/>
        <color theme="1"/>
        <rFont val="Arial"/>
        <family val="2"/>
      </rPr>
      <t xml:space="preserve">c 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r10</t>
    </r>
  </si>
  <si>
    <t>&lt; 0.4</t>
  </si>
  <si>
    <t>Dev</t>
  </si>
  <si>
    <r>
      <t>Minor Peak Runoff, Q</t>
    </r>
    <r>
      <rPr>
        <vertAlign val="subscript"/>
        <sz val="12"/>
        <color theme="1"/>
        <rFont val="Arial"/>
        <family val="2"/>
      </rPr>
      <t xml:space="preserve">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</si>
  <si>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</si>
  <si>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Q</t>
    </r>
    <r>
      <rPr>
        <vertAlign val="subscript"/>
        <sz val="12"/>
        <color theme="1"/>
        <rFont val="Arial"/>
        <family val="2"/>
      </rPr>
      <t>weir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</si>
  <si>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r>
      <t>Q</t>
    </r>
    <r>
      <rPr>
        <vertAlign val="subscript"/>
        <sz val="12"/>
        <color theme="1"/>
        <rFont val="Arial"/>
        <family val="2"/>
      </rPr>
      <t>grate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</si>
  <si>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t>Acceptable deviation +/- 10%</t>
  </si>
  <si>
    <r>
      <t>Discharge Pipe Capacity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</si>
  <si>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Q &gt; Q</t>
    </r>
    <r>
      <rPr>
        <vertAlign val="subscript"/>
        <sz val="12"/>
        <color theme="1"/>
        <rFont val="Arial"/>
        <family val="2"/>
      </rPr>
      <t>10</t>
    </r>
  </si>
  <si>
    <t>Overflow weir length 
(m)</t>
  </si>
  <si>
    <t>Is swale side slope 1:4 or gentler?</t>
  </si>
  <si>
    <t>Manning's n</t>
  </si>
  <si>
    <t>Treatment</t>
  </si>
  <si>
    <t>Swale length
(m)</t>
  </si>
  <si>
    <r>
      <t>Equiv. Imperv catchment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</si>
  <si>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Swale area (base width x length)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</si>
  <si>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% Swale area / Catchment area</t>
  </si>
  <si>
    <t>Swale depth, H
(m)</t>
  </si>
  <si>
    <t>Project Title :</t>
  </si>
  <si>
    <t>Revision No.:</t>
  </si>
  <si>
    <t>Brief Description of Project:</t>
  </si>
  <si>
    <t>Notes:</t>
  </si>
  <si>
    <t>- Project scope
- ABC Waters concept design</t>
  </si>
  <si>
    <t>Total site area:</t>
  </si>
  <si>
    <t>(ha)</t>
  </si>
  <si>
    <t>(%)</t>
  </si>
  <si>
    <t>Are Design Features within drainage reserve/green buffer (Y/N)?</t>
  </si>
  <si>
    <t>Are Design Features used for meeting detention requirement per COP Clause 7.1.5 (Y/N)?</t>
  </si>
  <si>
    <t>ABCWP Endorsement:</t>
  </si>
  <si>
    <t>Name:</t>
  </si>
  <si>
    <t>ABCWP no.:</t>
  </si>
  <si>
    <t>Overflow structure 
(select from drop down)</t>
  </si>
  <si>
    <t>% treatment area</t>
  </si>
  <si>
    <t>Is % treatment area within 3-5%?</t>
  </si>
  <si>
    <r>
      <t>Equiv. 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</si>
  <si>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Swale area (base width x length)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</si>
  <si>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</si>
  <si>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</si>
  <si>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 Catchment Area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</si>
  <si>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Time of Concentration, t</t>
    </r>
    <r>
      <rPr>
        <vertAlign val="subscript"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(min)</t>
    </r>
  </si>
  <si>
    <r>
      <t>Swale Top width, W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
(m)</t>
    </r>
  </si>
  <si>
    <r>
      <t>Swale Base width, W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
(m)</t>
    </r>
  </si>
  <si>
    <r>
      <t>Max Flow Depth (15% freeboard), Y</t>
    </r>
    <r>
      <rPr>
        <vertAlign val="subscript"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 (m)</t>
    </r>
  </si>
  <si>
    <r>
      <t>Swale Q</t>
    </r>
    <r>
      <rPr>
        <vertAlign val="subscript"/>
        <sz val="10"/>
        <color theme="1"/>
        <rFont val="Arial"/>
        <family val="2"/>
      </rPr>
      <t>swale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</si>
  <si>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r>
      <t>Is Q</t>
    </r>
    <r>
      <rPr>
        <vertAlign val="subscript"/>
        <sz val="10"/>
        <color theme="1"/>
        <rFont val="Arial"/>
        <family val="2"/>
      </rPr>
      <t>swale</t>
    </r>
    <r>
      <rPr>
        <sz val="10"/>
        <color theme="1"/>
        <rFont val="Arial"/>
        <family val="2"/>
      </rPr>
      <t xml:space="preserve"> &gt; Q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>?</t>
    </r>
  </si>
  <si>
    <r>
      <t>Weir Coefficient, C</t>
    </r>
    <r>
      <rPr>
        <vertAlign val="subscript"/>
        <sz val="10"/>
        <rFont val="Arial"/>
        <family val="2"/>
      </rPr>
      <t>w</t>
    </r>
  </si>
  <si>
    <r>
      <t>10yr ARI Rainfall intensity I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
(mm/hr)</t>
    </r>
  </si>
  <si>
    <r>
      <t>100yr ARI Rainfall intensity I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
(mm/hr)</t>
    </r>
  </si>
  <si>
    <r>
      <t>10yr ARI Peak Runoff, Q</t>
    </r>
    <r>
      <rPr>
        <vertAlign val="subscript"/>
        <sz val="10"/>
        <color theme="1"/>
        <rFont val="Arial"/>
        <family val="2"/>
      </rPr>
      <t xml:space="preserve">10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</si>
  <si>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t>100yr ARI Peak Runoff, Q</t>
    </r>
    <r>
      <rPr>
        <vertAlign val="subscript"/>
        <sz val="10"/>
        <color theme="1"/>
        <rFont val="Arial"/>
        <family val="2"/>
      </rPr>
      <t xml:space="preserve">100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</si>
  <si>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t>10yr ARI Flow Velocity Check</t>
  </si>
  <si>
    <t>100yr ARI Flow Velocity Check</t>
  </si>
  <si>
    <t>Select</t>
  </si>
  <si>
    <t>Yes/No</t>
  </si>
  <si>
    <t>Yes</t>
  </si>
  <si>
    <t>No</t>
  </si>
  <si>
    <t>Longitudinal slope
1:x</t>
  </si>
  <si>
    <t>*Check if 15% freeboard provided</t>
  </si>
  <si>
    <t>For Vegetation Scour Check (10/100yr ARI flow depth)</t>
  </si>
  <si>
    <t>Site area treated by Design Features:</t>
  </si>
  <si>
    <r>
      <t>Max Flow Depth Above Weir, h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(m)</t>
    </r>
  </si>
  <si>
    <t>Weir Check</t>
  </si>
  <si>
    <t>Orifice  Check</t>
  </si>
  <si>
    <t>Total weir length</t>
  </si>
  <si>
    <t>Discharge pipe</t>
  </si>
  <si>
    <t>Manning's</t>
  </si>
  <si>
    <t>Other</t>
  </si>
  <si>
    <t>Colebrook-White</t>
  </si>
  <si>
    <t>Project Ref :</t>
  </si>
  <si>
    <t>Flow Depth/ Plant Height
(%)</t>
  </si>
  <si>
    <t>Developer:</t>
  </si>
  <si>
    <t>Lead Consultant:</t>
  </si>
  <si>
    <t>2) This sheet is for up to 10 design features; please use a separate file for additional design features if insufficient</t>
  </si>
  <si>
    <t>1) Fill in all parameters where relevant. The designer is responsible for the adequateness of design and accuracy of the submitted figures.</t>
  </si>
  <si>
    <t>(dd/mm/yyyy)</t>
  </si>
  <si>
    <t>Sheet No.:</t>
  </si>
  <si>
    <t>of</t>
  </si>
  <si>
    <t>3) There are no calculations built into this sheet. The designer is encouraged to input his/her own equations as necessary for future submissions.</t>
  </si>
  <si>
    <t>4) For details, refer to the "Engineering Procedures for ABC Waters Design Features".</t>
  </si>
  <si>
    <t>% Total site area treated by Design Features:</t>
  </si>
  <si>
    <t>(1) Catchment Characteristics</t>
  </si>
  <si>
    <t>(2) Runoff</t>
  </si>
  <si>
    <t>(3) Treatment</t>
  </si>
  <si>
    <t>Remarks</t>
  </si>
  <si>
    <t>(4) Swale Hydraulic Capacity Check</t>
  </si>
  <si>
    <t>(5) Vegetation Scour Check</t>
  </si>
  <si>
    <t>Equation used*:</t>
  </si>
  <si>
    <t>*to fill in parameters and calculations based on equation used</t>
  </si>
  <si>
    <t>Average Plant Height
(m)</t>
  </si>
  <si>
    <t>Project Address:</t>
  </si>
  <si>
    <t xml:space="preserve">(fill in 6 digit postal code </t>
  </si>
  <si>
    <t>or TS/MK number)</t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</si>
  <si>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Q</t>
    </r>
    <r>
      <rPr>
        <i/>
        <vertAlign val="subscript"/>
        <sz val="10"/>
        <rFont val="Arial"/>
        <family val="2"/>
      </rPr>
      <t>10</t>
    </r>
    <r>
      <rPr>
        <i/>
        <sz val="10"/>
        <rFont val="Arial"/>
        <family val="2"/>
      </rPr>
      <t xml:space="preserve"> from step (2)</t>
    </r>
  </si>
  <si>
    <r>
      <t>10yr ARI Flow Depth, Y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*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(m)</t>
    </r>
  </si>
  <si>
    <r>
      <t>Y</t>
    </r>
    <r>
      <rPr>
        <vertAlign val="subscript"/>
        <sz val="10"/>
        <rFont val="Arial"/>
        <family val="2"/>
      </rPr>
      <t xml:space="preserve">10 </t>
    </r>
    <r>
      <rPr>
        <sz val="10"/>
        <rFont val="Arial"/>
        <family val="2"/>
      </rPr>
      <t>/ Plant Height
(%)</t>
    </r>
  </si>
  <si>
    <r>
      <t>Manning's n
under Y</t>
    </r>
    <r>
      <rPr>
        <vertAlign val="subscript"/>
        <sz val="10"/>
        <rFont val="Arial"/>
        <family val="2"/>
      </rPr>
      <t>10</t>
    </r>
  </si>
  <si>
    <r>
      <t>Swale Flow Velocity, V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</si>
  <si>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&lt; 0.5 m/s?</t>
    </r>
  </si>
  <si>
    <r>
      <t>100yr ARI Flow Depth,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>*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(m)</t>
    </r>
  </si>
  <si>
    <r>
      <t>Y</t>
    </r>
    <r>
      <rPr>
        <vertAlign val="subscript"/>
        <sz val="10"/>
        <rFont val="Arial"/>
        <family val="2"/>
      </rPr>
      <t xml:space="preserve">100 </t>
    </r>
    <r>
      <rPr>
        <sz val="10"/>
        <rFont val="Arial"/>
        <family val="2"/>
      </rPr>
      <t>/ Plant Height
(%)</t>
    </r>
  </si>
  <si>
    <r>
      <t>Manning's n under Y</t>
    </r>
    <r>
      <rPr>
        <vertAlign val="subscript"/>
        <sz val="10"/>
        <rFont val="Arial"/>
        <family val="2"/>
      </rPr>
      <t>100</t>
    </r>
  </si>
  <si>
    <r>
      <t>Swale Flow Velocity, V</t>
    </r>
    <r>
      <rPr>
        <vertAlign val="subscript"/>
        <sz val="10"/>
        <rFont val="Arial"/>
        <family val="2"/>
      </rPr>
      <t>100</t>
    </r>
    <r>
      <rPr>
        <vertAlign val="superscript"/>
        <sz val="10"/>
        <rFont val="Arial"/>
        <family val="2"/>
      </rPr>
      <t>#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</si>
  <si>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&lt; 2 m/s?</t>
    </r>
  </si>
  <si>
    <r>
      <t>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x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/s)</t>
    </r>
  </si>
  <si>
    <r>
      <t>Is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x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&lt; 0.4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/s?</t>
    </r>
  </si>
  <si>
    <r>
      <t>*Flow depth Y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corresponding to flow rate Q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from step (2)</t>
    </r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</si>
  <si>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V</t>
    </r>
    <r>
      <rPr>
        <i/>
        <vertAlign val="subscript"/>
        <sz val="10"/>
        <rFont val="Arial"/>
        <family val="2"/>
      </rPr>
      <t xml:space="preserve">10/100 </t>
    </r>
    <r>
      <rPr>
        <i/>
        <sz val="10"/>
        <rFont val="Arial"/>
        <family val="2"/>
      </rPr>
      <t>= [Q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from step (2)] / [swale cross-sectional flow area at depth Y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>]</t>
    </r>
  </si>
  <si>
    <t>Leave blank if not applicable or &gt;1 type are provided</t>
  </si>
  <si>
    <r>
      <t>Total Weir Discharge,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</si>
  <si>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</si>
  <si>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t>Total Opening Area, A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</si>
  <si>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Orifice Coefficient, C</t>
    </r>
    <r>
      <rPr>
        <vertAlign val="subscript"/>
        <sz val="10"/>
        <rFont val="Arial"/>
        <family val="2"/>
      </rPr>
      <t>d</t>
    </r>
  </si>
  <si>
    <r>
      <t>Total Orifice Discharge,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</si>
  <si>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</si>
  <si>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t>Final Outlet Capacity*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</si>
  <si>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Outlet capacity 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</si>
  <si>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t>Auto-populated from sheet "RG_inputs"</t>
  </si>
  <si>
    <t>Project Ref</t>
  </si>
  <si>
    <t>Project Title Line 1</t>
  </si>
  <si>
    <t>Project Title Line 2</t>
  </si>
  <si>
    <t>Revision no.</t>
  </si>
  <si>
    <t>Date</t>
  </si>
  <si>
    <t>Developer</t>
  </si>
  <si>
    <t>Lead Consultant</t>
  </si>
  <si>
    <t>ABCWP Name</t>
  </si>
  <si>
    <t>ABCWP No.</t>
  </si>
  <si>
    <t>Project Address</t>
  </si>
  <si>
    <t>Total Site Area</t>
  </si>
  <si>
    <t>ha</t>
  </si>
  <si>
    <t>Site treated area by ABCWDF</t>
  </si>
  <si>
    <t>% Site area treated</t>
  </si>
  <si>
    <t>ABCWDF within green buffer?</t>
  </si>
  <si>
    <t>ABCWDF for detention?</t>
  </si>
  <si>
    <t>For Manual Input "Yellow Cells"</t>
  </si>
  <si>
    <t>Submission Status</t>
  </si>
  <si>
    <t>Officer In-charge</t>
  </si>
  <si>
    <t>OIC</t>
  </si>
  <si>
    <t>E-mail</t>
  </si>
  <si>
    <t>OIC E-mail</t>
  </si>
  <si>
    <t>Select from above dropdown list</t>
  </si>
  <si>
    <t>Submission date</t>
  </si>
  <si>
    <t>Theresa Marie Lee</t>
  </si>
  <si>
    <t>theresa_marie_lee@pub.gov.sg</t>
  </si>
  <si>
    <t>Respond by (7 working days)</t>
  </si>
  <si>
    <t>Benjamin Tan</t>
  </si>
  <si>
    <t>benjamin_zw_tan@pub.gov.sg</t>
  </si>
  <si>
    <t>Days remaining</t>
  </si>
  <si>
    <t>days</t>
  </si>
  <si>
    <t>Png Hui Yi</t>
  </si>
  <si>
    <t>png_hui_yi@pub.gov.sg</t>
  </si>
  <si>
    <t>Luke Ortega</t>
  </si>
  <si>
    <t>luke_ortega@pub.gov.sg</t>
  </si>
  <si>
    <t>Stephenie Yap</t>
  </si>
  <si>
    <t>stephenie_yap@pub.gov.sg</t>
  </si>
  <si>
    <t>Lim Hong Yi</t>
  </si>
  <si>
    <t>lim_hong_yi@pub.gov.sg</t>
  </si>
  <si>
    <t>&lt;new officer1&gt;</t>
  </si>
  <si>
    <t>&lt;new officer2&gt;</t>
  </si>
  <si>
    <t>Status</t>
  </si>
  <si>
    <t>Open</t>
  </si>
  <si>
    <t>Close</t>
  </si>
  <si>
    <t>Hydraulic Calculation Submission for ABC Waters Design Features - Bioretention Swale</t>
  </si>
  <si>
    <t>Perforations Inflow</t>
  </si>
  <si>
    <t>Pipe Capacity</t>
  </si>
  <si>
    <t>Filter media depth
(m)</t>
  </si>
  <si>
    <t>Drainage layer depth
(m)</t>
  </si>
  <si>
    <r>
      <t>Extended detention
h</t>
    </r>
    <r>
      <rPr>
        <vertAlign val="subscript"/>
        <sz val="10"/>
        <color theme="1"/>
        <rFont val="Arial"/>
        <family val="2"/>
      </rPr>
      <t xml:space="preserve">max
</t>
    </r>
    <r>
      <rPr>
        <sz val="10"/>
        <color theme="1"/>
        <rFont val="Arial"/>
        <family val="2"/>
      </rPr>
      <t>(m)</t>
    </r>
  </si>
  <si>
    <r>
      <t>Saturated hydraulic conductivity, k</t>
    </r>
    <r>
      <rPr>
        <vertAlign val="subscript"/>
        <sz val="10"/>
        <color theme="1"/>
        <rFont val="Arial"/>
        <family val="2"/>
      </rPr>
      <t>sat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(m/hr)</t>
    </r>
  </si>
  <si>
    <r>
      <t>Max infiltration rate, Q</t>
    </r>
    <r>
      <rPr>
        <vertAlign val="subscript"/>
        <sz val="10"/>
        <color theme="1"/>
        <rFont val="Arial"/>
        <family val="2"/>
      </rPr>
      <t xml:space="preserve">max
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</si>
  <si>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t>Total pipe length
(m)</t>
  </si>
  <si>
    <t>Driving head, h
(m)</t>
  </si>
  <si>
    <r>
      <t>Perforation area per m length, A</t>
    </r>
    <r>
      <rPr>
        <vertAlign val="sub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/m)</t>
    </r>
  </si>
  <si>
    <r>
      <t>Total Perforation flow rate, Q</t>
    </r>
    <r>
      <rPr>
        <vertAlign val="subscript"/>
        <sz val="10"/>
        <color theme="1"/>
        <rFont val="Arial"/>
        <family val="2"/>
      </rPr>
      <t>perf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</si>
  <si>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r>
      <t>Is Q</t>
    </r>
    <r>
      <rPr>
        <vertAlign val="subscript"/>
        <sz val="10"/>
        <color theme="1"/>
        <rFont val="Arial"/>
        <family val="2"/>
      </rPr>
      <t>perf</t>
    </r>
    <r>
      <rPr>
        <sz val="10"/>
        <color theme="1"/>
        <rFont val="Arial"/>
        <family val="2"/>
      </rPr>
      <t xml:space="preserve"> &gt;= Q</t>
    </r>
    <r>
      <rPr>
        <vertAlign val="subscript"/>
        <sz val="10"/>
        <color theme="1"/>
        <rFont val="Arial"/>
        <family val="2"/>
      </rPr>
      <t>max</t>
    </r>
    <r>
      <rPr>
        <sz val="10"/>
        <color theme="1"/>
        <rFont val="Arial"/>
        <family val="2"/>
      </rPr>
      <t>?</t>
    </r>
  </si>
  <si>
    <r>
      <t>Pipe diameter, D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 xml:space="preserve">
(m)</t>
    </r>
  </si>
  <si>
    <r>
      <t>Hydraulic Gradient, S</t>
    </r>
    <r>
      <rPr>
        <vertAlign val="subscript"/>
        <sz val="10"/>
        <color theme="1"/>
        <rFont val="Arial"/>
        <family val="2"/>
      </rPr>
      <t xml:space="preserve">f </t>
    </r>
    <r>
      <rPr>
        <sz val="10"/>
        <color theme="1"/>
        <rFont val="Arial"/>
        <family val="2"/>
      </rPr>
      <t xml:space="preserve">
(m/m)</t>
    </r>
  </si>
  <si>
    <r>
      <t>Hydraulic roughness, k</t>
    </r>
    <r>
      <rPr>
        <vertAlign val="superscript"/>
        <sz val="10"/>
        <color theme="1"/>
        <rFont val="Arial"/>
        <family val="2"/>
      </rPr>
      <t>#</t>
    </r>
  </si>
  <si>
    <t>No. of pipes</t>
  </si>
  <si>
    <t>Max pipe spacing
(m)</t>
  </si>
  <si>
    <r>
      <t>Total pipe flow, Q</t>
    </r>
    <r>
      <rPr>
        <vertAlign val="subscript"/>
        <sz val="10"/>
        <color theme="1"/>
        <rFont val="Arial"/>
        <family val="2"/>
      </rPr>
      <t>pipe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/s)*</t>
    </r>
  </si>
  <si>
    <r>
      <t>Is Q</t>
    </r>
    <r>
      <rPr>
        <vertAlign val="subscript"/>
        <sz val="10"/>
        <color theme="1"/>
        <rFont val="Arial"/>
        <family val="2"/>
      </rPr>
      <t>pipe</t>
    </r>
    <r>
      <rPr>
        <sz val="10"/>
        <color theme="1"/>
        <rFont val="Arial"/>
        <family val="2"/>
      </rPr>
      <t xml:space="preserve"> &gt;= Q</t>
    </r>
    <r>
      <rPr>
        <vertAlign val="subscript"/>
        <sz val="10"/>
        <color theme="1"/>
        <rFont val="Arial"/>
        <family val="2"/>
      </rPr>
      <t>max</t>
    </r>
    <r>
      <rPr>
        <sz val="10"/>
        <color theme="1"/>
        <rFont val="Arial"/>
        <family val="2"/>
      </rPr>
      <t>?</t>
    </r>
  </si>
  <si>
    <t xml:space="preserve">Blockage factor, B = </t>
  </si>
  <si>
    <r>
      <rPr>
        <i/>
        <vertAlign val="superscript"/>
        <sz val="10"/>
        <color theme="1"/>
        <rFont val="Arial"/>
        <family val="2"/>
      </rPr>
      <t>#</t>
    </r>
    <r>
      <rPr>
        <i/>
        <sz val="10"/>
        <color theme="1"/>
        <rFont val="Arial"/>
        <family val="2"/>
      </rPr>
      <t>Pipe material =</t>
    </r>
  </si>
  <si>
    <r>
      <t>Discharge coefficient, C</t>
    </r>
    <r>
      <rPr>
        <i/>
        <vertAlign val="subscript"/>
        <sz val="10"/>
        <color theme="1"/>
        <rFont val="Arial"/>
        <family val="2"/>
      </rPr>
      <t>d</t>
    </r>
    <r>
      <rPr>
        <i/>
        <sz val="10"/>
        <color theme="1"/>
        <rFont val="Arial"/>
        <family val="2"/>
      </rPr>
      <t xml:space="preserve"> =</t>
    </r>
  </si>
  <si>
    <t xml:space="preserve">*Kinematic viscosity of water, v = 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</si>
  <si>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/s</t>
    </r>
  </si>
  <si>
    <t>Catchment area of Forebay
(ha)</t>
  </si>
  <si>
    <r>
      <t>Sediment loading rate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/ha/yr)</t>
    </r>
  </si>
  <si>
    <r>
      <t xml:space="preserve">Desired clean-out freq (once every </t>
    </r>
    <r>
      <rPr>
        <i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years)</t>
    </r>
  </si>
  <si>
    <r>
      <t>Total
Sediment Volume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</si>
  <si>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Capture Efficiency, R
(%)</t>
  </si>
  <si>
    <t>Turbulence parameter, n</t>
  </si>
  <si>
    <r>
      <t>Total Area of Forebay Required, A</t>
    </r>
    <r>
      <rPr>
        <vertAlign val="subscript"/>
        <sz val="10"/>
        <color theme="1"/>
        <rFont val="Arial"/>
        <family val="2"/>
      </rPr>
      <t>s</t>
    </r>
    <r>
      <rPr>
        <vertAlign val="superscript"/>
        <sz val="10"/>
        <color theme="1"/>
        <rFont val="Arial"/>
        <family val="2"/>
      </rPr>
      <t>#</t>
    </r>
    <r>
      <rPr>
        <sz val="10"/>
        <color theme="1"/>
        <rFont val="Arial"/>
        <family val="2"/>
      </rPr>
      <t xml:space="preserve">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</si>
  <si>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
Forebay Area Provided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</si>
  <si>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Forebay Depth Provided
(m)</t>
  </si>
  <si>
    <t>Forebay Porosity
(default '1' for unfilled forebay)</t>
  </si>
  <si>
    <r>
      <t>Total
Forebay Volume Provided
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</si>
  <si>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Is Forebay Volume &gt; Sediment Volume?</t>
  </si>
  <si>
    <r>
      <rPr>
        <i/>
        <vertAlign val="superscript"/>
        <sz val="10"/>
        <color theme="1"/>
        <rFont val="Arial"/>
        <family val="2"/>
      </rPr>
      <t>#</t>
    </r>
    <r>
      <rPr>
        <i/>
        <sz val="10"/>
        <color theme="1"/>
        <rFont val="Arial"/>
        <family val="2"/>
      </rPr>
      <t>Settling Velocity, v</t>
    </r>
    <r>
      <rPr>
        <i/>
        <vertAlign val="subscript"/>
        <sz val="10"/>
        <color theme="1"/>
        <rFont val="Arial"/>
        <family val="2"/>
      </rPr>
      <t>s</t>
    </r>
    <r>
      <rPr>
        <i/>
        <sz val="10"/>
        <color theme="1"/>
        <rFont val="Arial"/>
        <family val="2"/>
      </rPr>
      <t xml:space="preserve"> = </t>
    </r>
  </si>
  <si>
    <t>Bioretention Basin Design</t>
  </si>
  <si>
    <t>Under-drainage System</t>
  </si>
  <si>
    <r>
      <t>Extended detention
h</t>
    </r>
    <r>
      <rPr>
        <vertAlign val="subscript"/>
        <sz val="12"/>
        <color theme="1"/>
        <rFont val="Arial"/>
        <family val="2"/>
      </rPr>
      <t xml:space="preserve">max
</t>
    </r>
    <r>
      <rPr>
        <sz val="12"/>
        <color theme="1"/>
        <rFont val="Arial"/>
        <family val="2"/>
      </rPr>
      <t>(m)</t>
    </r>
  </si>
  <si>
    <r>
      <t>Saturated hydraulic conductivity, k</t>
    </r>
    <r>
      <rPr>
        <vertAlign val="subscript"/>
        <sz val="12"/>
        <color theme="1"/>
        <rFont val="Arial"/>
        <family val="2"/>
      </rPr>
      <t>sat</t>
    </r>
    <r>
      <rPr>
        <sz val="12"/>
        <color theme="1"/>
        <rFont val="Arial"/>
        <family val="2"/>
      </rPr>
      <t xml:space="preserve">
(m/hr)</t>
    </r>
  </si>
  <si>
    <r>
      <t>Max infiltration rate, Q</t>
    </r>
    <r>
      <rPr>
        <vertAlign val="subscript"/>
        <sz val="12"/>
        <color theme="1"/>
        <rFont val="Arial"/>
        <family val="2"/>
      </rPr>
      <t xml:space="preserve">max
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</si>
  <si>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t>Blockage factor, B</t>
  </si>
  <si>
    <r>
      <t>Perforation area per m length, A</t>
    </r>
    <r>
      <rPr>
        <vertAlign val="sub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/m)</t>
    </r>
  </si>
  <si>
    <r>
      <t>Total Perforation flow rate, Q</t>
    </r>
    <r>
      <rPr>
        <vertAlign val="subscript"/>
        <sz val="12"/>
        <color theme="1"/>
        <rFont val="Arial"/>
        <family val="2"/>
      </rPr>
      <t>perf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</si>
  <si>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Pipe diameter, D</t>
    </r>
    <r>
      <rPr>
        <vertAlign val="subscript"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 xml:space="preserve">
(m)</t>
    </r>
  </si>
  <si>
    <r>
      <t>Pipe Cross-section area, A</t>
    </r>
    <r>
      <rPr>
        <vertAlign val="subscript"/>
        <sz val="12"/>
        <color theme="1"/>
        <rFont val="Arial"/>
        <family val="2"/>
      </rPr>
      <t xml:space="preserve">p
</t>
    </r>
    <r>
      <rPr>
        <sz val="12"/>
        <color theme="1"/>
        <rFont val="Arial"/>
        <family val="2"/>
      </rPr>
      <t>(m)</t>
    </r>
  </si>
  <si>
    <r>
      <t>Hydraulic Gradient, S</t>
    </r>
    <r>
      <rPr>
        <vertAlign val="subscript"/>
        <sz val="12"/>
        <color theme="1"/>
        <rFont val="Arial"/>
        <family val="2"/>
      </rPr>
      <t xml:space="preserve">f </t>
    </r>
    <r>
      <rPr>
        <sz val="12"/>
        <color theme="1"/>
        <rFont val="Arial"/>
        <family val="2"/>
      </rPr>
      <t xml:space="preserve">
(m/m)</t>
    </r>
  </si>
  <si>
    <r>
      <t>Hydraulic roughness, k</t>
    </r>
    <r>
      <rPr>
        <vertAlign val="superscript"/>
        <sz val="12"/>
        <color theme="1"/>
        <rFont val="Arial"/>
        <family val="2"/>
      </rPr>
      <t>#</t>
    </r>
  </si>
  <si>
    <r>
      <t>Kinematic viscosity of water, v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/s)</t>
    </r>
  </si>
  <si>
    <r>
      <t>Total pipe flow, Q</t>
    </r>
    <r>
      <rPr>
        <vertAlign val="subscript"/>
        <sz val="12"/>
        <color theme="1"/>
        <rFont val="Arial"/>
        <family val="2"/>
      </rPr>
      <t>pipe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</si>
  <si>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t>Max Pipe Spacing
(m)</t>
  </si>
  <si>
    <t>Sediment Forebay</t>
  </si>
  <si>
    <r>
      <t>Sediment loading rate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/ha/yr)</t>
    </r>
  </si>
  <si>
    <r>
      <t xml:space="preserve">Desired clean-out freq (once every 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 xml:space="preserve"> years)</t>
    </r>
  </si>
  <si>
    <r>
      <t>Sediment Volume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</si>
  <si>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Settling velocity,v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
(m/s)</t>
    </r>
  </si>
  <si>
    <t>Turbelence parameter, n</t>
  </si>
  <si>
    <r>
      <t>Area of Forebay Required, A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</si>
  <si>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Forebay Area Provided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</si>
  <si>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Forebay Depth
(m)</t>
  </si>
  <si>
    <t>Forebay Porosity</t>
  </si>
  <si>
    <r>
      <t>Forebay Volume Provided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</si>
  <si>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Under-drainage system</t>
  </si>
  <si>
    <t>Filter media depth</t>
  </si>
  <si>
    <r>
      <t>Is Q</t>
    </r>
    <r>
      <rPr>
        <vertAlign val="subscript"/>
        <sz val="12"/>
        <color theme="1"/>
        <rFont val="Arial"/>
        <family val="2"/>
      </rPr>
      <t>perf</t>
    </r>
    <r>
      <rPr>
        <sz val="12"/>
        <color theme="1"/>
        <rFont val="Arial"/>
        <family val="2"/>
      </rPr>
      <t xml:space="preserve"> &gt;= Q</t>
    </r>
    <r>
      <rPr>
        <vertAlign val="subscript"/>
        <sz val="12"/>
        <color theme="1"/>
        <rFont val="Arial"/>
        <family val="2"/>
      </rPr>
      <t>max</t>
    </r>
    <r>
      <rPr>
        <sz val="12"/>
        <color theme="1"/>
        <rFont val="Arial"/>
        <family val="2"/>
      </rPr>
      <t>?</t>
    </r>
  </si>
  <si>
    <r>
      <t>Is Q</t>
    </r>
    <r>
      <rPr>
        <vertAlign val="subscript"/>
        <sz val="12"/>
        <color theme="1"/>
        <rFont val="Arial"/>
        <family val="2"/>
      </rPr>
      <t>pipe</t>
    </r>
    <r>
      <rPr>
        <sz val="12"/>
        <color theme="1"/>
        <rFont val="Arial"/>
        <family val="2"/>
      </rPr>
      <t xml:space="preserve"> &gt;= Q</t>
    </r>
    <r>
      <rPr>
        <vertAlign val="subscript"/>
        <sz val="12"/>
        <color theme="1"/>
        <rFont val="Arial"/>
        <family val="2"/>
      </rPr>
      <t>max</t>
    </r>
    <r>
      <rPr>
        <sz val="12"/>
        <color theme="1"/>
        <rFont val="Arial"/>
        <family val="2"/>
      </rPr>
      <t>?</t>
    </r>
  </si>
  <si>
    <r>
      <t>Total Sediment Volume
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</si>
  <si>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Total Forebay area provided &gt;= A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>?</t>
    </r>
  </si>
  <si>
    <t>Forebay volume &gt;= Sediment volume?</t>
  </si>
  <si>
    <t>0.4 - 0.6</t>
  </si>
  <si>
    <t>0.1 - 0.5</t>
  </si>
  <si>
    <t>&lt; 3m</t>
  </si>
  <si>
    <r>
      <t>3mth ARI  Rainfall intensity I</t>
    </r>
    <r>
      <rPr>
        <vertAlign val="subscript"/>
        <sz val="10"/>
        <color theme="1"/>
        <rFont val="Arial"/>
        <family val="2"/>
      </rPr>
      <t>3m</t>
    </r>
    <r>
      <rPr>
        <sz val="10"/>
        <color theme="1"/>
        <rFont val="Arial"/>
        <family val="2"/>
      </rPr>
      <t xml:space="preserve">
(mm/hr)</t>
    </r>
  </si>
  <si>
    <r>
      <t>3mth ARI Peak Runoff, Q</t>
    </r>
    <r>
      <rPr>
        <vertAlign val="subscript"/>
        <sz val="10"/>
        <color theme="1"/>
        <rFont val="Arial"/>
        <family val="2"/>
      </rPr>
      <t xml:space="preserve">3m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</si>
  <si>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t>3mth Rainfall intensity, I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
(mm/hr)</t>
    </r>
  </si>
  <si>
    <r>
      <t>3mth Peak Runoff, Q</t>
    </r>
    <r>
      <rPr>
        <vertAlign val="subscript"/>
        <sz val="12"/>
        <color theme="1"/>
        <rFont val="Arial"/>
        <family val="2"/>
      </rPr>
      <t xml:space="preserve">r3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</si>
  <si>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t>(6) Bioretention Basin Design</t>
  </si>
  <si>
    <t>(7) Under-drainage System</t>
  </si>
  <si>
    <r>
      <t xml:space="preserve">(8) Sediment Forebay
</t>
    </r>
    <r>
      <rPr>
        <i/>
        <sz val="10"/>
        <rFont val="Arial"/>
        <family val="2"/>
      </rPr>
      <t>(For basins with multiple forebays, please sum up the catchment areas and total forebay area &amp; volume)</t>
    </r>
  </si>
  <si>
    <t>(9) Overflow Structure</t>
  </si>
  <si>
    <t xml:space="preserve">(10) Calculation for final discharge pipe capacity: </t>
  </si>
  <si>
    <t>% TSS Removal:</t>
  </si>
  <si>
    <t>% TN Removal:</t>
  </si>
  <si>
    <t>% TP Removal:</t>
  </si>
  <si>
    <t>Link to Download</t>
  </si>
  <si>
    <t>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</si>
</sst>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2"/>
      <name val="Arial"/>
      <family val="2"/>
    </font>
    <font>
      <i/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rgb="FFFF000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vertAlign val="superscript"/>
      <sz val="10"/>
      <color theme="1"/>
      <name val="Arial"/>
      <family val="2"/>
    </font>
    <font>
      <i/>
      <vertAlign val="subscript"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7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/>
    <xf numFmtId="0" fontId="10" fillId="5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/>
    <xf numFmtId="165" fontId="0" fillId="0" borderId="0" xfId="0" applyNumberFormat="1"/>
    <xf numFmtId="0" fontId="1" fillId="0" borderId="1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164" fontId="0" fillId="0" borderId="0" xfId="0" applyNumberFormat="1"/>
    <xf numFmtId="164" fontId="0" fillId="0" borderId="15" xfId="0" applyNumberFormat="1" applyBorder="1"/>
    <xf numFmtId="0" fontId="2" fillId="0" borderId="14" xfId="0" applyFont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15" xfId="0" applyNumberFormat="1" applyFont="1" applyBorder="1"/>
    <xf numFmtId="0" fontId="1" fillId="0" borderId="0" xfId="0" applyFont="1"/>
    <xf numFmtId="0" fontId="1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3" xfId="0" applyFont="1" applyBorder="1"/>
    <xf numFmtId="0" fontId="11" fillId="6" borderId="0" xfId="0" applyFont="1" applyFill="1" applyAlignment="1">
      <alignment horizontal="left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7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0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wrapText="1"/>
    </xf>
    <xf numFmtId="0" fontId="10" fillId="5" borderId="1" xfId="0" applyFont="1" applyFill="1" applyBorder="1"/>
    <xf numFmtId="9" fontId="10" fillId="3" borderId="1" xfId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7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9" fontId="17" fillId="0" borderId="1" xfId="1" applyFont="1" applyFill="1" applyBorder="1"/>
    <xf numFmtId="10" fontId="17" fillId="0" borderId="1" xfId="1" applyNumberFormat="1" applyFont="1" applyFill="1" applyBorder="1"/>
    <xf numFmtId="9" fontId="10" fillId="12" borderId="1" xfId="1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13" borderId="20" xfId="0" applyFont="1" applyFill="1" applyBorder="1" applyAlignment="1">
      <alignment horizontal="center"/>
    </xf>
    <xf numFmtId="0" fontId="21" fillId="6" borderId="0" xfId="0" applyFont="1" applyFill="1"/>
    <xf numFmtId="0" fontId="10" fillId="6" borderId="4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8" fillId="6" borderId="0" xfId="0" applyFont="1" applyFill="1" applyAlignment="1">
      <alignment horizontal="right"/>
    </xf>
    <xf numFmtId="0" fontId="9" fillId="6" borderId="0" xfId="0" applyFont="1" applyFill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10" fillId="6" borderId="0" xfId="0" applyFont="1" applyFill="1" applyAlignment="1">
      <alignment vertical="top"/>
    </xf>
    <xf numFmtId="0" fontId="15" fillId="6" borderId="0" xfId="0" quotePrefix="1" applyFont="1" applyFill="1" applyAlignment="1">
      <alignment horizontal="left" vertical="top" wrapText="1"/>
    </xf>
    <xf numFmtId="0" fontId="15" fillId="6" borderId="5" xfId="0" quotePrefix="1" applyFont="1" applyFill="1" applyBorder="1" applyAlignment="1">
      <alignment horizontal="left" vertical="top" wrapText="1"/>
    </xf>
    <xf numFmtId="0" fontId="23" fillId="0" borderId="0" xfId="0" applyFont="1"/>
    <xf numFmtId="0" fontId="10" fillId="6" borderId="3" xfId="0" applyFont="1" applyFill="1" applyBorder="1" applyAlignment="1" applyProtection="1">
      <alignment horizontal="center"/>
      <protection locked="0"/>
    </xf>
    <xf numFmtId="0" fontId="15" fillId="6" borderId="0" xfId="0" quotePrefix="1" applyFont="1" applyFill="1" applyAlignment="1">
      <alignment vertical="top" wrapText="1"/>
    </xf>
    <xf numFmtId="0" fontId="23" fillId="0" borderId="0" xfId="0" applyFont="1" applyAlignment="1">
      <alignment wrapText="1"/>
    </xf>
    <xf numFmtId="0" fontId="23" fillId="6" borderId="0" xfId="0" applyFont="1" applyFill="1"/>
    <xf numFmtId="0" fontId="21" fillId="13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wrapText="1"/>
    </xf>
    <xf numFmtId="0" fontId="10" fillId="6" borderId="3" xfId="0" applyFont="1" applyFill="1" applyBorder="1" applyAlignment="1" applyProtection="1">
      <alignment vertical="top"/>
      <protection locked="0"/>
    </xf>
    <xf numFmtId="0" fontId="10" fillId="0" borderId="20" xfId="0" applyFont="1" applyBorder="1"/>
    <xf numFmtId="0" fontId="11" fillId="0" borderId="2" xfId="0" applyFont="1" applyBorder="1"/>
    <xf numFmtId="0" fontId="11" fillId="0" borderId="0" xfId="0" applyFont="1"/>
    <xf numFmtId="0" fontId="29" fillId="0" borderId="0" xfId="0" applyFont="1"/>
    <xf numFmtId="0" fontId="30" fillId="0" borderId="0" xfId="0" applyFont="1"/>
    <xf numFmtId="0" fontId="10" fillId="0" borderId="23" xfId="0" applyFont="1" applyBorder="1"/>
    <xf numFmtId="0" fontId="10" fillId="0" borderId="3" xfId="0" applyFont="1" applyBorder="1"/>
    <xf numFmtId="0" fontId="10" fillId="4" borderId="20" xfId="0" applyFont="1" applyFill="1" applyBorder="1" applyAlignment="1">
      <alignment wrapText="1"/>
    </xf>
    <xf numFmtId="0" fontId="10" fillId="5" borderId="20" xfId="0" applyFont="1" applyFill="1" applyBorder="1"/>
    <xf numFmtId="0" fontId="7" fillId="0" borderId="23" xfId="0" applyFont="1" applyBorder="1" applyAlignment="1">
      <alignment wrapText="1"/>
    </xf>
    <xf numFmtId="0" fontId="1" fillId="0" borderId="24" xfId="0" applyFont="1" applyBorder="1"/>
    <xf numFmtId="0" fontId="0" fillId="0" borderId="25" xfId="0" applyBorder="1"/>
    <xf numFmtId="10" fontId="10" fillId="5" borderId="1" xfId="1" applyNumberFormat="1" applyFont="1" applyFill="1" applyBorder="1" applyAlignment="1">
      <alignment horizontal="center"/>
    </xf>
    <xf numFmtId="0" fontId="10" fillId="6" borderId="3" xfId="0" applyFont="1" applyFill="1" applyBorder="1" applyProtection="1">
      <protection locked="0"/>
    </xf>
    <xf numFmtId="0" fontId="10" fillId="6" borderId="5" xfId="0" applyFont="1" applyFill="1" applyBorder="1" applyAlignment="1">
      <alignment horizontal="right"/>
    </xf>
    <xf numFmtId="0" fontId="10" fillId="6" borderId="0" xfId="0" quotePrefix="1" applyFont="1" applyFill="1" applyAlignment="1">
      <alignment horizontal="right" vertical="top"/>
    </xf>
    <xf numFmtId="0" fontId="6" fillId="6" borderId="0" xfId="6" applyFill="1" applyBorder="1" applyAlignment="1" applyProtection="1">
      <alignment horizontal="left"/>
      <protection locked="0"/>
    </xf>
    <xf numFmtId="0" fontId="10" fillId="6" borderId="0" xfId="0" applyFont="1" applyFill="1" applyAlignment="1">
      <alignment horizontal="center"/>
    </xf>
    <xf numFmtId="9" fontId="10" fillId="14" borderId="3" xfId="1" applyFont="1" applyFill="1" applyBorder="1" applyAlignment="1" applyProtection="1">
      <alignment vertical="top"/>
    </xf>
    <xf numFmtId="0" fontId="21" fillId="6" borderId="4" xfId="0" applyFont="1" applyFill="1" applyBorder="1" applyProtection="1">
      <protection locked="0"/>
    </xf>
    <xf numFmtId="0" fontId="10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right"/>
    </xf>
    <xf numFmtId="0" fontId="9" fillId="6" borderId="5" xfId="0" applyFont="1" applyFill="1" applyBorder="1"/>
    <xf numFmtId="0" fontId="9" fillId="6" borderId="0" xfId="0" applyFont="1" applyFill="1"/>
    <xf numFmtId="0" fontId="31" fillId="6" borderId="0" xfId="6" applyFont="1" applyFill="1" applyAlignment="1">
      <alignment horizontal="center"/>
    </xf>
    <xf numFmtId="0" fontId="20" fillId="6" borderId="0" xfId="0" applyFont="1" applyFill="1"/>
    <xf numFmtId="0" fontId="21" fillId="10" borderId="1" xfId="0" applyFont="1" applyFill="1" applyBorder="1" applyAlignment="1">
      <alignment horizontal="center" wrapText="1"/>
    </xf>
    <xf numFmtId="0" fontId="21" fillId="6" borderId="0" xfId="0" applyFont="1" applyFill="1" applyAlignment="1">
      <alignment horizontal="left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21" fillId="0" borderId="1" xfId="1" applyNumberFormat="1" applyFont="1" applyFill="1" applyBorder="1" applyAlignment="1" applyProtection="1">
      <alignment horizontal="center"/>
      <protection locked="0"/>
    </xf>
    <xf numFmtId="0" fontId="21" fillId="1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0" fontId="21" fillId="14" borderId="1" xfId="1" applyNumberFormat="1" applyFont="1" applyFill="1" applyBorder="1" applyAlignment="1">
      <alignment horizontal="center"/>
    </xf>
    <xf numFmtId="9" fontId="21" fillId="0" borderId="1" xfId="1" applyFont="1" applyFill="1" applyBorder="1" applyAlignment="1" applyProtection="1">
      <alignment horizontal="center"/>
      <protection locked="0"/>
    </xf>
    <xf numFmtId="0" fontId="21" fillId="6" borderId="0" xfId="0" applyFont="1" applyFill="1" applyAlignment="1">
      <alignment horizontal="center"/>
    </xf>
    <xf numFmtId="10" fontId="21" fillId="6" borderId="0" xfId="1" applyNumberFormat="1" applyFont="1" applyFill="1" applyBorder="1" applyAlignment="1">
      <alignment horizontal="center"/>
    </xf>
    <xf numFmtId="0" fontId="32" fillId="6" borderId="0" xfId="0" applyFont="1" applyFill="1" applyAlignment="1">
      <alignment horizontal="left"/>
    </xf>
    <xf numFmtId="0" fontId="5" fillId="4" borderId="22" xfId="0" applyFont="1" applyFill="1" applyBorder="1" applyAlignment="1">
      <alignment horizontal="center" wrapText="1"/>
    </xf>
    <xf numFmtId="0" fontId="34" fillId="6" borderId="0" xfId="0" applyFont="1" applyFill="1"/>
    <xf numFmtId="0" fontId="5" fillId="9" borderId="1" xfId="0" applyFont="1" applyFill="1" applyBorder="1" applyAlignment="1">
      <alignment horizontal="center" wrapText="1"/>
    </xf>
    <xf numFmtId="0" fontId="34" fillId="6" borderId="0" xfId="0" applyFont="1" applyFill="1" applyAlignment="1">
      <alignment horizontal="left"/>
    </xf>
    <xf numFmtId="0" fontId="5" fillId="4" borderId="2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0" fontId="5" fillId="14" borderId="1" xfId="1" applyNumberFormat="1" applyFont="1" applyFill="1" applyBorder="1" applyAlignment="1">
      <alignment horizontal="center"/>
    </xf>
    <xf numFmtId="0" fontId="5" fillId="6" borderId="0" xfId="0" applyFont="1" applyFill="1"/>
    <xf numFmtId="0" fontId="5" fillId="0" borderId="1" xfId="0" applyFont="1" applyBorder="1" applyAlignment="1">
      <alignment horizontal="center"/>
    </xf>
    <xf numFmtId="0" fontId="38" fillId="6" borderId="0" xfId="0" applyFont="1" applyFill="1"/>
    <xf numFmtId="0" fontId="33" fillId="6" borderId="0" xfId="0" applyFont="1" applyFill="1"/>
    <xf numFmtId="0" fontId="5" fillId="0" borderId="1" xfId="0" applyFont="1" applyBorder="1" applyProtection="1">
      <protection locked="0"/>
    </xf>
    <xf numFmtId="0" fontId="39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9" fontId="0" fillId="0" borderId="0" xfId="0" applyNumberFormat="1"/>
    <xf numFmtId="0" fontId="40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0" fontId="41" fillId="14" borderId="0" xfId="0" applyFont="1" applyFill="1"/>
    <xf numFmtId="0" fontId="0" fillId="14" borderId="0" xfId="0" applyFill="1"/>
    <xf numFmtId="14" fontId="0" fillId="2" borderId="0" xfId="0" applyNumberFormat="1" applyFill="1"/>
    <xf numFmtId="0" fontId="6" fillId="14" borderId="0" xfId="6" applyFill="1"/>
    <xf numFmtId="0" fontId="5" fillId="6" borderId="1" xfId="0" applyFont="1" applyFill="1" applyBorder="1" applyProtection="1">
      <protection locked="0"/>
    </xf>
    <xf numFmtId="0" fontId="34" fillId="6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Border="1" applyProtection="1">
      <protection locked="0"/>
    </xf>
    <xf numFmtId="9" fontId="23" fillId="0" borderId="1" xfId="1" applyFont="1" applyBorder="1" applyProtection="1">
      <protection locked="0"/>
    </xf>
    <xf numFmtId="9" fontId="21" fillId="0" borderId="1" xfId="1" applyFont="1" applyBorder="1" applyProtection="1">
      <protection locked="0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23" fillId="0" borderId="1" xfId="1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10" fontId="23" fillId="14" borderId="1" xfId="1" applyNumberFormat="1" applyFont="1" applyFill="1" applyBorder="1" applyAlignment="1">
      <alignment horizontal="center"/>
    </xf>
    <xf numFmtId="0" fontId="23" fillId="6" borderId="1" xfId="0" applyFont="1" applyFill="1" applyBorder="1" applyProtection="1">
      <protection locked="0"/>
    </xf>
    <xf numFmtId="0" fontId="23" fillId="6" borderId="0" xfId="0" applyFont="1" applyFill="1" applyAlignment="1">
      <alignment horizontal="center"/>
    </xf>
    <xf numFmtId="10" fontId="23" fillId="6" borderId="0" xfId="1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right"/>
    </xf>
    <xf numFmtId="0" fontId="21" fillId="6" borderId="4" xfId="1" applyNumberFormat="1" applyFont="1" applyFill="1" applyBorder="1" applyAlignment="1" applyProtection="1">
      <alignment horizontal="center"/>
      <protection locked="0"/>
    </xf>
    <xf numFmtId="0" fontId="21" fillId="6" borderId="3" xfId="0" applyFont="1" applyFill="1" applyBorder="1" applyProtection="1"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1" fillId="9" borderId="22" xfId="0" applyFont="1" applyFill="1" applyBorder="1" applyAlignment="1">
      <alignment horizontal="center" wrapText="1"/>
    </xf>
    <xf numFmtId="0" fontId="21" fillId="9" borderId="1" xfId="0" applyFont="1" applyFill="1" applyBorder="1" applyAlignment="1">
      <alignment horizontal="center" wrapText="1"/>
    </xf>
    <xf numFmtId="10" fontId="23" fillId="0" borderId="1" xfId="1" applyNumberFormat="1" applyFont="1" applyFill="1" applyBorder="1" applyAlignment="1" applyProtection="1">
      <alignment horizontal="center"/>
      <protection locked="0"/>
    </xf>
    <xf numFmtId="0" fontId="21" fillId="6" borderId="4" xfId="0" applyFont="1" applyFill="1" applyBorder="1" applyAlignment="1" applyProtection="1">
      <alignment horizontal="center"/>
      <protection locked="0"/>
    </xf>
    <xf numFmtId="0" fontId="23" fillId="6" borderId="0" xfId="0" applyFont="1" applyFill="1" applyAlignment="1">
      <alignment wrapText="1"/>
    </xf>
    <xf numFmtId="0" fontId="10" fillId="0" borderId="1" xfId="1" applyNumberFormat="1" applyFont="1" applyFill="1" applyBorder="1" applyAlignment="1">
      <alignment horizontal="center"/>
    </xf>
    <xf numFmtId="11" fontId="10" fillId="0" borderId="1" xfId="0" applyNumberFormat="1" applyFont="1" applyBorder="1" applyAlignment="1">
      <alignment horizontal="center"/>
    </xf>
    <xf numFmtId="0" fontId="10" fillId="9" borderId="22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10" fontId="10" fillId="0" borderId="1" xfId="1" applyNumberFormat="1" applyFont="1" applyFill="1" applyBorder="1" applyAlignment="1">
      <alignment horizontal="center"/>
    </xf>
    <xf numFmtId="11" fontId="10" fillId="5" borderId="1" xfId="0" applyNumberFormat="1" applyFont="1" applyFill="1" applyBorder="1"/>
    <xf numFmtId="0" fontId="10" fillId="13" borderId="1" xfId="0" applyFont="1" applyFill="1" applyBorder="1" applyAlignment="1">
      <alignment vertical="center" wrapText="1"/>
    </xf>
    <xf numFmtId="9" fontId="17" fillId="0" borderId="1" xfId="1" applyFont="1" applyFill="1" applyBorder="1" applyAlignment="1">
      <alignment horizontal="center"/>
    </xf>
    <xf numFmtId="10" fontId="17" fillId="0" borderId="1" xfId="1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0" fontId="21" fillId="6" borderId="0" xfId="0" applyFont="1" applyFill="1" applyAlignment="1">
      <alignment horizontal="right"/>
    </xf>
    <xf numFmtId="15" fontId="21" fillId="6" borderId="0" xfId="0" applyNumberFormat="1" applyFont="1" applyFill="1" applyAlignment="1">
      <alignment horizontal="right"/>
    </xf>
    <xf numFmtId="0" fontId="33" fillId="9" borderId="1" xfId="0" applyFont="1" applyFill="1" applyBorder="1" applyAlignment="1">
      <alignment horizontal="center"/>
    </xf>
    <xf numFmtId="0" fontId="21" fillId="6" borderId="1" xfId="0" applyFont="1" applyFill="1" applyBorder="1" applyAlignment="1" applyProtection="1">
      <alignment horizontal="center"/>
      <protection locked="0"/>
    </xf>
    <xf numFmtId="0" fontId="33" fillId="6" borderId="1" xfId="0" quotePrefix="1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left"/>
    </xf>
    <xf numFmtId="0" fontId="23" fillId="6" borderId="4" xfId="0" applyFont="1" applyFill="1" applyBorder="1" applyAlignment="1" applyProtection="1">
      <alignment horizontal="center"/>
      <protection locked="0"/>
    </xf>
    <xf numFmtId="0" fontId="15" fillId="6" borderId="4" xfId="0" quotePrefix="1" applyFont="1" applyFill="1" applyBorder="1" applyAlignment="1" applyProtection="1">
      <alignment horizontal="center" vertical="top" wrapText="1"/>
      <protection locked="0"/>
    </xf>
    <xf numFmtId="0" fontId="15" fillId="6" borderId="0" xfId="0" quotePrefix="1" applyFont="1" applyFill="1" applyAlignment="1">
      <alignment horizontal="left" vertical="top"/>
    </xf>
    <xf numFmtId="0" fontId="10" fillId="6" borderId="0" xfId="0" applyFont="1" applyFill="1" applyAlignment="1">
      <alignment horizontal="left"/>
    </xf>
    <xf numFmtId="0" fontId="15" fillId="6" borderId="0" xfId="0" quotePrefix="1" applyFont="1" applyFill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21" fillId="7" borderId="21" xfId="0" applyFont="1" applyFill="1" applyBorder="1" applyAlignment="1">
      <alignment horizontal="center" wrapText="1"/>
    </xf>
    <xf numFmtId="0" fontId="21" fillId="7" borderId="23" xfId="0" applyFont="1" applyFill="1" applyBorder="1" applyAlignment="1">
      <alignment horizontal="center" wrapText="1"/>
    </xf>
    <xf numFmtId="0" fontId="21" fillId="7" borderId="22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left" vertical="top"/>
    </xf>
    <xf numFmtId="0" fontId="26" fillId="8" borderId="6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6" fillId="8" borderId="10" xfId="0" applyFont="1" applyFill="1" applyBorder="1" applyAlignment="1">
      <alignment horizontal="center"/>
    </xf>
    <xf numFmtId="0" fontId="5" fillId="7" borderId="21" xfId="0" applyFont="1" applyFill="1" applyBorder="1" applyAlignment="1" applyProtection="1">
      <alignment horizontal="center" wrapText="1"/>
      <protection locked="0"/>
    </xf>
    <xf numFmtId="0" fontId="5" fillId="7" borderId="23" xfId="0" applyFont="1" applyFill="1" applyBorder="1" applyAlignment="1" applyProtection="1">
      <alignment horizontal="center" wrapText="1"/>
      <protection locked="0"/>
    </xf>
    <xf numFmtId="0" fontId="5" fillId="7" borderId="22" xfId="0" applyFont="1" applyFill="1" applyBorder="1" applyAlignment="1" applyProtection="1">
      <alignment horizontal="center" wrapText="1"/>
      <protection locked="0"/>
    </xf>
    <xf numFmtId="0" fontId="26" fillId="11" borderId="6" xfId="0" applyFont="1" applyFill="1" applyBorder="1" applyAlignment="1">
      <alignment horizontal="center"/>
    </xf>
    <xf numFmtId="0" fontId="26" fillId="11" borderId="5" xfId="0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9" xfId="0" applyFont="1" applyFill="1" applyBorder="1" applyAlignment="1">
      <alignment horizontal="center"/>
    </xf>
    <xf numFmtId="0" fontId="26" fillId="11" borderId="3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wrapText="1"/>
    </xf>
    <xf numFmtId="0" fontId="5" fillId="7" borderId="23" xfId="0" applyFont="1" applyFill="1" applyBorder="1" applyAlignment="1">
      <alignment horizontal="center" wrapText="1"/>
    </xf>
    <xf numFmtId="0" fontId="5" fillId="7" borderId="22" xfId="0" applyFont="1" applyFill="1" applyBorder="1" applyAlignment="1">
      <alignment horizontal="center" wrapText="1"/>
    </xf>
    <xf numFmtId="0" fontId="6" fillId="6" borderId="0" xfId="6" applyFill="1" applyAlignment="1">
      <alignment horizontal="center"/>
    </xf>
    <xf numFmtId="0" fontId="26" fillId="13" borderId="6" xfId="0" applyFont="1" applyFill="1" applyBorder="1" applyAlignment="1">
      <alignment horizontal="center"/>
    </xf>
    <xf numFmtId="0" fontId="26" fillId="13" borderId="5" xfId="0" applyFont="1" applyFill="1" applyBorder="1" applyAlignment="1">
      <alignment horizontal="center"/>
    </xf>
    <xf numFmtId="0" fontId="26" fillId="13" borderId="7" xfId="0" applyFont="1" applyFill="1" applyBorder="1" applyAlignment="1">
      <alignment horizontal="center"/>
    </xf>
    <xf numFmtId="0" fontId="26" fillId="13" borderId="9" xfId="0" applyFont="1" applyFill="1" applyBorder="1" applyAlignment="1">
      <alignment horizontal="center"/>
    </xf>
    <xf numFmtId="0" fontId="26" fillId="13" borderId="3" xfId="0" applyFont="1" applyFill="1" applyBorder="1" applyAlignment="1">
      <alignment horizontal="center"/>
    </xf>
    <xf numFmtId="0" fontId="26" fillId="13" borderId="10" xfId="0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15" fillId="6" borderId="1" xfId="0" quotePrefix="1" applyFont="1" applyFill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10" fillId="6" borderId="0" xfId="0" applyFont="1" applyFill="1" applyAlignment="1">
      <alignment horizontal="left" vertical="top"/>
    </xf>
    <xf numFmtId="0" fontId="10" fillId="6" borderId="3" xfId="0" applyFont="1" applyFill="1" applyBorder="1" applyAlignment="1" applyProtection="1">
      <alignment horizontal="center"/>
      <protection locked="0"/>
    </xf>
    <xf numFmtId="0" fontId="10" fillId="6" borderId="4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right"/>
    </xf>
    <xf numFmtId="0" fontId="38" fillId="6" borderId="3" xfId="0" applyFont="1" applyFill="1" applyBorder="1" applyAlignment="1" applyProtection="1">
      <alignment horizontal="center"/>
      <protection locked="0"/>
    </xf>
    <xf numFmtId="0" fontId="33" fillId="6" borderId="1" xfId="0" applyFont="1" applyFill="1" applyBorder="1" applyAlignment="1">
      <alignment horizontal="center" wrapText="1"/>
    </xf>
    <xf numFmtId="0" fontId="26" fillId="10" borderId="1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left"/>
    </xf>
    <xf numFmtId="0" fontId="21" fillId="6" borderId="3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3" fillId="4" borderId="20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/>
    </xf>
    <xf numFmtId="0" fontId="34" fillId="4" borderId="20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21" fillId="11" borderId="1" xfId="0" applyFont="1" applyFill="1" applyBorder="1" applyAlignment="1">
      <alignment horizontal="center" wrapText="1"/>
    </xf>
    <xf numFmtId="0" fontId="26" fillId="10" borderId="6" xfId="0" applyFont="1" applyFill="1" applyBorder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6" fillId="10" borderId="7" xfId="0" applyFont="1" applyFill="1" applyBorder="1" applyAlignment="1">
      <alignment horizontal="center"/>
    </xf>
    <xf numFmtId="0" fontId="26" fillId="10" borderId="9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0" fontId="26" fillId="10" borderId="10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33" fillId="9" borderId="6" xfId="0" applyFont="1" applyFill="1" applyBorder="1" applyAlignment="1">
      <alignment horizontal="center" wrapText="1"/>
    </xf>
    <xf numFmtId="0" fontId="33" fillId="9" borderId="5" xfId="0" applyFont="1" applyFill="1" applyBorder="1" applyAlignment="1">
      <alignment horizontal="center" wrapText="1"/>
    </xf>
    <xf numFmtId="0" fontId="33" fillId="9" borderId="7" xfId="0" applyFont="1" applyFill="1" applyBorder="1" applyAlignment="1">
      <alignment horizontal="center" wrapText="1"/>
    </xf>
    <xf numFmtId="0" fontId="33" fillId="9" borderId="9" xfId="0" applyFont="1" applyFill="1" applyBorder="1" applyAlignment="1">
      <alignment horizontal="center" wrapText="1"/>
    </xf>
    <xf numFmtId="0" fontId="33" fillId="9" borderId="3" xfId="0" applyFont="1" applyFill="1" applyBorder="1" applyAlignment="1">
      <alignment horizontal="center" wrapText="1"/>
    </xf>
    <xf numFmtId="0" fontId="33" fillId="9" borderId="10" xfId="0" applyFont="1" applyFill="1" applyBorder="1" applyAlignment="1">
      <alignment horizontal="center" wrapText="1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0" borderId="20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19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9" xfId="0" applyFont="1" applyFill="1" applyBorder="1" applyAlignment="1">
      <alignment horizontal="center"/>
    </xf>
  </cellXfs>
  <cellStyles count="7">
    <cellStyle name="Hyperlink" xfId="5" builtinId="8" hidden="1"/>
    <cellStyle name="Hyperlink" xfId="6" builtinId="8"/>
    <cellStyle name="Normal" xfId="0" builtinId="0"/>
    <cellStyle name="Normal 2" xfId="4" xr:uid="{00000000-0005-0000-0000-000002000000}"/>
    <cellStyle name="Normal 3" xfId="2" xr:uid="{00000000-0005-0000-0000-000003000000}"/>
    <cellStyle name="Percent" xfId="1" builtinId="5"/>
    <cellStyle name="Percent 2" xfId="3" xr:uid="{00000000-0005-0000-0000-000005000000}"/>
  </cellStyles>
  <dxfs count="9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36850</xdr:colOff>
      <xdr:row>32</xdr:row>
      <xdr:rowOff>62193</xdr:rowOff>
    </xdr:from>
    <xdr:to>
      <xdr:col>26</xdr:col>
      <xdr:colOff>344578</xdr:colOff>
      <xdr:row>40</xdr:row>
      <xdr:rowOff>96457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657098-DF9D-4769-8DC6-CFA371F7AD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l="6605" t="14996" r="16858" b="5581"/>
        <a:stretch/>
      </xdr:blipFill>
      <xdr:spPr>
        <a:xfrm>
          <a:off x="11478056" y="6382311"/>
          <a:ext cx="4543554" cy="14609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19</xdr:col>
      <xdr:colOff>23356</xdr:colOff>
      <xdr:row>61</xdr:row>
      <xdr:rowOff>70036</xdr:rowOff>
    </xdr:from>
    <xdr:to>
      <xdr:col>26</xdr:col>
      <xdr:colOff>284288</xdr:colOff>
      <xdr:row>69</xdr:row>
      <xdr:rowOff>120285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88494BE-CD62-4C70-93C2-47C054EE6A29}"/>
            </a:ext>
          </a:extLst>
        </xdr:cNvPr>
        <xdr:cNvGrpSpPr/>
      </xdr:nvGrpSpPr>
      <xdr:grpSpPr>
        <a:xfrm>
          <a:off x="14120356" y="13748683"/>
          <a:ext cx="4758226" cy="1327720"/>
          <a:chOff x="14772218" y="15348415"/>
          <a:chExt cx="3515997" cy="12441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8B58FB0B-F32D-4661-962B-4D7D3A34D955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</a14:imgLayer>
                </a14:imgProps>
              </a:ext>
            </a:extLst>
          </a:blip>
          <a:srcRect l="8610" r="16039"/>
          <a:stretch/>
        </xdr:blipFill>
        <xdr:spPr>
          <a:xfrm>
            <a:off x="14772218" y="15348415"/>
            <a:ext cx="3515997" cy="1244167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AE5AEE2-A083-4808-B73D-E0D6189F21F0}"/>
              </a:ext>
            </a:extLst>
          </xdr:cNvPr>
          <xdr:cNvSpPr txBox="1"/>
        </xdr:nvSpPr>
        <xdr:spPr>
          <a:xfrm>
            <a:off x="15371818" y="16161282"/>
            <a:ext cx="610324" cy="225744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lang="en-SG" sz="1200">
                <a:latin typeface="Arial" panose="020B0604020202020204" pitchFamily="34" charset="0"/>
                <a:cs typeface="Arial" panose="020B0604020202020204" pitchFamily="34" charset="0"/>
              </a:rPr>
              <a:t>Y</a:t>
            </a:r>
            <a:r>
              <a:rPr lang="en-SG" sz="1200" baseline="-25000">
                <a:latin typeface="Arial" panose="020B0604020202020204" pitchFamily="34" charset="0"/>
                <a:cs typeface="Arial" panose="020B0604020202020204" pitchFamily="34" charset="0"/>
              </a:rPr>
              <a:t>10/100</a:t>
            </a:r>
          </a:p>
        </xdr:txBody>
      </xdr:sp>
    </xdr:grpSp>
    <xdr:clientData/>
  </xdr:twoCellAnchor>
  <xdr:twoCellAnchor editAs="oneCell">
    <xdr:from>
      <xdr:col>18</xdr:col>
      <xdr:colOff>605117</xdr:colOff>
      <xdr:row>44</xdr:row>
      <xdr:rowOff>56656</xdr:rowOff>
    </xdr:from>
    <xdr:to>
      <xdr:col>28</xdr:col>
      <xdr:colOff>164439</xdr:colOff>
      <xdr:row>60</xdr:row>
      <xdr:rowOff>289449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FF06DA-1439-4930-B3A7-2E0E7FDE54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278" t="5255" r="9641" b="4358"/>
        <a:stretch/>
      </xdr:blipFill>
      <xdr:spPr>
        <a:xfrm>
          <a:off x="11441205" y="8349009"/>
          <a:ext cx="5604560" cy="378696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25</xdr:col>
      <xdr:colOff>49695</xdr:colOff>
      <xdr:row>50</xdr:row>
      <xdr:rowOff>99392</xdr:rowOff>
    </xdr:from>
    <xdr:to>
      <xdr:col>25</xdr:col>
      <xdr:colOff>49695</xdr:colOff>
      <xdr:row>56</xdr:row>
      <xdr:rowOff>8282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DE2C7B0-5B89-4993-B0EB-65DEF82FB3AF}"/>
            </a:ext>
          </a:extLst>
        </xdr:cNvPr>
        <xdr:cNvCxnSpPr/>
      </xdr:nvCxnSpPr>
      <xdr:spPr>
        <a:xfrm flipV="1">
          <a:off x="17219543" y="10651435"/>
          <a:ext cx="0" cy="10021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604631</xdr:colOff>
      <xdr:row>50</xdr:row>
      <xdr:rowOff>99392</xdr:rowOff>
    </xdr:from>
    <xdr:to>
      <xdr:col>25</xdr:col>
      <xdr:colOff>57979</xdr:colOff>
      <xdr:row>50</xdr:row>
      <xdr:rowOff>99392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032F5E2-E9A4-4F22-8C21-2CA8578617EB}"/>
            </a:ext>
          </a:extLst>
        </xdr:cNvPr>
        <xdr:cNvCxnSpPr/>
      </xdr:nvCxnSpPr>
      <xdr:spPr>
        <a:xfrm flipH="1">
          <a:off x="14709914" y="10651435"/>
          <a:ext cx="25179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468610</xdr:colOff>
      <xdr:row>14</xdr:row>
      <xdr:rowOff>121227</xdr:rowOff>
    </xdr:from>
    <xdr:to>
      <xdr:col>17</xdr:col>
      <xdr:colOff>206671</xdr:colOff>
      <xdr:row>36</xdr:row>
      <xdr:rowOff>134796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107B3-D693-4102-9B28-E6919E968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78" t="5255" r="9641" b="4358"/>
        <a:stretch/>
      </xdr:blipFill>
      <xdr:spPr>
        <a:xfrm>
          <a:off x="5309551" y="3852786"/>
          <a:ext cx="6196235" cy="42007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150043</xdr:colOff>
      <xdr:row>14</xdr:row>
      <xdr:rowOff>121226</xdr:rowOff>
    </xdr:from>
    <xdr:to>
      <xdr:col>7</xdr:col>
      <xdr:colOff>321161</xdr:colOff>
      <xdr:row>24</xdr:row>
      <xdr:rowOff>171067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58D984-9ED2-4C5D-B4D0-D3343F50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896" y="3852785"/>
          <a:ext cx="4153016" cy="1964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5</xdr:row>
      <xdr:rowOff>180975</xdr:rowOff>
    </xdr:from>
    <xdr:to>
      <xdr:col>3</xdr:col>
      <xdr:colOff>447674</xdr:colOff>
      <xdr:row>16</xdr:row>
      <xdr:rowOff>136396</xdr:rowOff>
    </xdr:to>
    <xdr:pic>
      <xdr:nvPicPr>
        <xdr:cNvPr id="2" name="Picture 3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762000"/>
          <a:ext cx="3514725" cy="2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ub.gov.sg/-/media/PUB/Reservoirs/ABC/PDF/Condensed_Booklet_of_Engin_Procedur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ng_hui_yi@pub.gov.sg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theresa_marie_lee@pub.gov.sg" TargetMode="External"/><Relationship Id="rId1" Type="http://schemas.openxmlformats.org/officeDocument/2006/relationships/hyperlink" Target="mailto:benjamin_zw_tan@pub.gov.sg" TargetMode="External"/><Relationship Id="rId6" Type="http://schemas.openxmlformats.org/officeDocument/2006/relationships/hyperlink" Target="mailto:lim_hong_yi@pub.gov.sg" TargetMode="External"/><Relationship Id="rId5" Type="http://schemas.openxmlformats.org/officeDocument/2006/relationships/hyperlink" Target="mailto:stephenie_yap@pub.gov.sg" TargetMode="External"/><Relationship Id="rId4" Type="http://schemas.openxmlformats.org/officeDocument/2006/relationships/hyperlink" Target="mailto:luke_ortega@pub.gov.s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F9EC-F233-4BA8-B375-2F5C7167898F}">
  <dimension ref="A1:T138"/>
  <sheetViews>
    <sheetView tabSelected="1" view="pageBreakPreview" zoomScale="85" zoomScaleNormal="100" zoomScaleSheetLayoutView="85" zoomScalePageLayoutView="70" workbookViewId="0">
      <selection activeCell="S8" sqref="S8"/>
    </sheetView>
  </sheetViews>
  <sheetFormatPr defaultColWidth="9.1796875" defaultRowHeight="12.5" x14ac:dyDescent="0.25"/>
  <cols>
    <col min="1" max="7" width="10.26953125" style="44" customWidth="1"/>
    <col min="8" max="8" width="11" style="44" customWidth="1"/>
    <col min="9" max="16" width="10.26953125" style="44" customWidth="1"/>
    <col min="17" max="17" width="9.1796875" style="44"/>
    <col min="18" max="18" width="18.26953125" style="44" customWidth="1"/>
    <col min="19" max="19" width="9.26953125" style="44" bestFit="1" customWidth="1"/>
    <col min="20" max="41" width="9.1796875" style="44"/>
    <col min="42" max="42" width="19.453125" style="44" bestFit="1" customWidth="1"/>
    <col min="43" max="44" width="9.1796875" style="44"/>
    <col min="45" max="45" width="9.1796875" style="44" customWidth="1"/>
    <col min="46" max="46" width="10.7265625" style="44" customWidth="1"/>
    <col min="47" max="16384" width="9.1796875" style="44"/>
  </cols>
  <sheetData>
    <row r="1" spans="1:19" ht="16.5" customHeight="1" x14ac:dyDescent="0.4">
      <c r="A1" s="220" t="s">
        <v>257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59"/>
      <c r="R1" s="59"/>
      <c r="S1" s="59"/>
    </row>
    <row r="2" spans="1:19" ht="16.5" x14ac:dyDescent="0.35">
      <c r="A2" s="59"/>
      <c r="B2" s="29"/>
      <c r="C2" s="59"/>
      <c r="D2" s="61"/>
      <c r="E2" s="62"/>
      <c r="F2" s="62"/>
      <c r="G2" s="59"/>
      <c r="H2" s="59"/>
      <c r="I2" s="59"/>
      <c r="J2" s="59"/>
      <c r="K2" s="59"/>
      <c r="L2" s="61"/>
      <c r="M2" s="61"/>
      <c r="N2" s="61"/>
      <c r="O2" s="61"/>
      <c r="P2" s="59"/>
      <c r="Q2" s="59"/>
      <c r="R2" s="59"/>
      <c r="S2" s="59"/>
    </row>
    <row r="3" spans="1:19" ht="16.5" customHeight="1" x14ac:dyDescent="0.35">
      <c r="A3" s="59"/>
      <c r="B3" s="234" t="s">
        <v>164</v>
      </c>
      <c r="C3" s="234"/>
      <c r="D3" s="232"/>
      <c r="E3" s="232"/>
      <c r="F3" s="232"/>
      <c r="G3" s="232"/>
      <c r="H3" s="232"/>
      <c r="I3" s="232"/>
      <c r="J3" s="232"/>
      <c r="K3" s="234" t="s">
        <v>3</v>
      </c>
      <c r="L3" s="234"/>
      <c r="M3" s="234"/>
      <c r="N3" s="232"/>
      <c r="O3" s="232"/>
      <c r="P3" s="3" t="s">
        <v>170</v>
      </c>
      <c r="Q3" s="59"/>
      <c r="R3" s="59"/>
      <c r="S3" s="59"/>
    </row>
    <row r="4" spans="1:19" ht="16.5" customHeight="1" x14ac:dyDescent="0.35">
      <c r="A4" s="59"/>
      <c r="B4" s="234" t="s">
        <v>114</v>
      </c>
      <c r="C4" s="234"/>
      <c r="D4" s="233"/>
      <c r="E4" s="233"/>
      <c r="F4" s="233"/>
      <c r="G4" s="233"/>
      <c r="H4" s="233"/>
      <c r="I4" s="233"/>
      <c r="J4" s="233"/>
      <c r="K4" s="234" t="s">
        <v>166</v>
      </c>
      <c r="L4" s="234"/>
      <c r="M4" s="234"/>
      <c r="N4" s="232"/>
      <c r="O4" s="232"/>
      <c r="P4" s="232"/>
      <c r="Q4" s="59"/>
      <c r="R4" s="59"/>
      <c r="S4" s="177" t="s">
        <v>344</v>
      </c>
    </row>
    <row r="5" spans="1:19" ht="16.5" customHeight="1" x14ac:dyDescent="0.35">
      <c r="A5" s="59"/>
      <c r="B5" s="29"/>
      <c r="C5" s="59"/>
      <c r="D5" s="233"/>
      <c r="E5" s="233"/>
      <c r="F5" s="233"/>
      <c r="G5" s="233"/>
      <c r="H5" s="233"/>
      <c r="I5" s="233"/>
      <c r="J5" s="233"/>
      <c r="K5" s="234" t="s">
        <v>167</v>
      </c>
      <c r="L5" s="234"/>
      <c r="M5" s="234"/>
      <c r="N5" s="233"/>
      <c r="O5" s="233"/>
      <c r="P5" s="233"/>
      <c r="Q5" s="59"/>
      <c r="R5" s="59"/>
      <c r="S5" s="178">
        <v>45517</v>
      </c>
    </row>
    <row r="6" spans="1:19" ht="16.5" x14ac:dyDescent="0.35">
      <c r="A6" s="59"/>
      <c r="B6" s="234" t="s">
        <v>115</v>
      </c>
      <c r="C6" s="234"/>
      <c r="D6" s="60"/>
      <c r="E6" s="104"/>
      <c r="F6" s="103" t="s">
        <v>171</v>
      </c>
      <c r="G6" s="101"/>
      <c r="H6" s="102" t="s">
        <v>172</v>
      </c>
      <c r="I6" s="101"/>
      <c r="J6" s="59"/>
      <c r="K6" s="59"/>
      <c r="L6" s="4"/>
      <c r="M6" s="4"/>
      <c r="N6" s="4"/>
      <c r="O6" s="4"/>
      <c r="P6" s="59"/>
      <c r="Q6" s="59"/>
      <c r="R6" s="59"/>
      <c r="S6" s="59"/>
    </row>
    <row r="7" spans="1:19" ht="16.5" x14ac:dyDescent="0.35">
      <c r="A7" s="59"/>
      <c r="B7" s="29"/>
      <c r="C7" s="59"/>
      <c r="D7" s="4"/>
      <c r="E7" s="105"/>
      <c r="F7" s="105"/>
      <c r="G7" s="59"/>
      <c r="H7" s="59"/>
      <c r="I7" s="59"/>
      <c r="J7" s="59"/>
      <c r="K7" s="59"/>
      <c r="L7" s="4"/>
      <c r="M7" s="182" t="s">
        <v>124</v>
      </c>
      <c r="N7" s="182"/>
      <c r="O7" s="182"/>
      <c r="P7" s="59"/>
      <c r="Q7" s="239" t="s">
        <v>185</v>
      </c>
      <c r="R7" s="239"/>
      <c r="S7" s="59"/>
    </row>
    <row r="8" spans="1:19" ht="16.5" x14ac:dyDescent="0.35">
      <c r="A8" s="59"/>
      <c r="B8" s="182" t="s">
        <v>116</v>
      </c>
      <c r="C8" s="182"/>
      <c r="D8" s="182"/>
      <c r="E8" s="182"/>
      <c r="F8" s="105"/>
      <c r="G8" s="59"/>
      <c r="H8" s="59"/>
      <c r="I8" s="59"/>
      <c r="J8" s="59"/>
      <c r="K8" s="59"/>
      <c r="L8" s="4"/>
      <c r="M8" s="222"/>
      <c r="N8" s="223"/>
      <c r="O8" s="224"/>
      <c r="P8" s="59"/>
      <c r="Q8" s="240"/>
      <c r="R8" s="240"/>
      <c r="S8" s="59"/>
    </row>
    <row r="9" spans="1:19" ht="16.5" customHeight="1" x14ac:dyDescent="0.35">
      <c r="A9" s="63"/>
      <c r="B9" s="221" t="s">
        <v>118</v>
      </c>
      <c r="C9" s="221"/>
      <c r="D9" s="221"/>
      <c r="E9" s="221"/>
      <c r="F9" s="221"/>
      <c r="G9" s="221"/>
      <c r="H9" s="221"/>
      <c r="I9" s="221"/>
      <c r="J9" s="221"/>
      <c r="K9" s="221"/>
      <c r="L9" s="72"/>
      <c r="M9" s="225"/>
      <c r="N9" s="226"/>
      <c r="O9" s="227"/>
      <c r="P9" s="59"/>
      <c r="Q9" s="59" t="s">
        <v>186</v>
      </c>
      <c r="R9" s="59"/>
      <c r="S9" s="59"/>
    </row>
    <row r="10" spans="1:19" ht="16.5" x14ac:dyDescent="0.35">
      <c r="A10" s="63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72"/>
      <c r="M10" s="225"/>
      <c r="N10" s="226"/>
      <c r="O10" s="227"/>
      <c r="P10" s="59"/>
      <c r="Q10" s="59" t="s">
        <v>187</v>
      </c>
      <c r="R10" s="59"/>
      <c r="S10" s="59"/>
    </row>
    <row r="11" spans="1:19" ht="16.5" x14ac:dyDescent="0.35">
      <c r="A11" s="63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72"/>
      <c r="M11" s="225"/>
      <c r="N11" s="226"/>
      <c r="O11" s="227"/>
      <c r="P11" s="59"/>
      <c r="Q11" s="59"/>
      <c r="R11" s="59"/>
      <c r="S11" s="59"/>
    </row>
    <row r="12" spans="1:19" ht="16.5" x14ac:dyDescent="0.35">
      <c r="A12" s="63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72"/>
      <c r="M12" s="225"/>
      <c r="N12" s="226"/>
      <c r="O12" s="227"/>
      <c r="P12" s="59"/>
      <c r="Q12" s="59"/>
      <c r="R12" s="59"/>
      <c r="S12" s="59"/>
    </row>
    <row r="13" spans="1:19" ht="16.5" x14ac:dyDescent="0.35">
      <c r="A13" s="63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72"/>
      <c r="M13" s="225"/>
      <c r="N13" s="226"/>
      <c r="O13" s="227"/>
      <c r="P13" s="59"/>
      <c r="Q13" s="59"/>
      <c r="R13" s="59"/>
      <c r="S13" s="59"/>
    </row>
    <row r="14" spans="1:19" ht="16.5" x14ac:dyDescent="0.35">
      <c r="A14" s="63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8"/>
      <c r="M14" s="228"/>
      <c r="N14" s="229"/>
      <c r="O14" s="230"/>
      <c r="P14" s="59"/>
      <c r="Q14" s="59"/>
      <c r="R14" s="59"/>
      <c r="S14" s="59"/>
    </row>
    <row r="15" spans="1:19" ht="16.5" x14ac:dyDescent="0.35">
      <c r="A15" s="63"/>
      <c r="B15" s="231" t="s">
        <v>119</v>
      </c>
      <c r="C15" s="231"/>
      <c r="D15" s="231"/>
      <c r="E15" s="231"/>
      <c r="F15" s="231"/>
      <c r="G15" s="231"/>
      <c r="H15" s="81"/>
      <c r="I15" s="67" t="s">
        <v>120</v>
      </c>
      <c r="J15" s="64"/>
      <c r="K15" s="59"/>
      <c r="L15" s="59"/>
      <c r="M15" s="96" t="s">
        <v>125</v>
      </c>
      <c r="N15" s="183"/>
      <c r="O15" s="183"/>
      <c r="P15" s="59"/>
      <c r="Q15" s="59"/>
      <c r="R15" s="59"/>
      <c r="S15" s="59"/>
    </row>
    <row r="16" spans="1:19" ht="16.5" x14ac:dyDescent="0.35">
      <c r="A16" s="63"/>
      <c r="B16" s="186" t="s">
        <v>155</v>
      </c>
      <c r="C16" s="186"/>
      <c r="D16" s="186"/>
      <c r="E16" s="186"/>
      <c r="F16" s="186"/>
      <c r="G16" s="186"/>
      <c r="H16" s="95"/>
      <c r="I16" s="4" t="s">
        <v>120</v>
      </c>
      <c r="J16" s="59"/>
      <c r="K16" s="67"/>
      <c r="L16" s="67"/>
      <c r="M16" s="97" t="s">
        <v>126</v>
      </c>
      <c r="N16" s="184"/>
      <c r="O16" s="184"/>
      <c r="P16" s="59"/>
      <c r="Q16" s="59"/>
      <c r="R16" s="59"/>
      <c r="S16" s="59"/>
    </row>
    <row r="17" spans="1:20" ht="16.5" x14ac:dyDescent="0.35">
      <c r="A17" s="63"/>
      <c r="B17" s="194" t="s">
        <v>175</v>
      </c>
      <c r="C17" s="194"/>
      <c r="D17" s="194"/>
      <c r="E17" s="194"/>
      <c r="F17" s="194"/>
      <c r="G17" s="194"/>
      <c r="H17" s="100" t="e">
        <f>H16/H15</f>
        <v>#DIV/0!</v>
      </c>
      <c r="I17" s="67" t="s">
        <v>121</v>
      </c>
      <c r="J17" s="67"/>
      <c r="K17" s="65"/>
      <c r="L17" s="65"/>
      <c r="M17" s="65"/>
      <c r="N17" s="65"/>
      <c r="O17" s="65"/>
      <c r="P17" s="59"/>
      <c r="Q17" s="59"/>
      <c r="R17" s="59"/>
      <c r="S17" s="59"/>
    </row>
    <row r="18" spans="1:20" ht="16.5" x14ac:dyDescent="0.35">
      <c r="A18" s="63"/>
      <c r="B18" s="186" t="s">
        <v>122</v>
      </c>
      <c r="C18" s="186"/>
      <c r="D18" s="186"/>
      <c r="E18" s="186"/>
      <c r="F18" s="186"/>
      <c r="G18" s="186"/>
      <c r="H18" s="186"/>
      <c r="I18" s="186"/>
      <c r="J18" s="186"/>
      <c r="K18" s="186"/>
      <c r="L18" s="71" t="s">
        <v>148</v>
      </c>
      <c r="M18" s="59"/>
      <c r="N18" s="65"/>
      <c r="O18" s="65"/>
      <c r="P18" s="59"/>
      <c r="Q18" s="59"/>
      <c r="R18" s="59"/>
      <c r="S18" s="59"/>
    </row>
    <row r="19" spans="1:20" ht="16.5" x14ac:dyDescent="0.35">
      <c r="A19" s="63"/>
      <c r="B19" s="186" t="s">
        <v>123</v>
      </c>
      <c r="C19" s="186"/>
      <c r="D19" s="186"/>
      <c r="E19" s="186"/>
      <c r="F19" s="186"/>
      <c r="G19" s="186"/>
      <c r="H19" s="186"/>
      <c r="I19" s="186"/>
      <c r="J19" s="186"/>
      <c r="K19" s="186"/>
      <c r="L19" s="71" t="s">
        <v>148</v>
      </c>
      <c r="M19" s="59"/>
      <c r="N19" s="65"/>
      <c r="O19" s="65"/>
      <c r="P19" s="59"/>
      <c r="Q19" s="59"/>
      <c r="R19" s="59"/>
      <c r="S19" s="59"/>
    </row>
    <row r="20" spans="1:20" s="59" customFormat="1" ht="16.5" customHeight="1" x14ac:dyDescent="0.35">
      <c r="A20" s="63"/>
      <c r="B20" s="3" t="s">
        <v>340</v>
      </c>
      <c r="C20" s="3"/>
      <c r="D20" s="3"/>
      <c r="E20" s="3"/>
      <c r="F20" s="3"/>
      <c r="G20" s="3"/>
      <c r="H20" s="95"/>
      <c r="I20" s="67" t="s">
        <v>121</v>
      </c>
      <c r="J20" s="3"/>
      <c r="K20" s="3"/>
      <c r="L20" s="65"/>
      <c r="N20" s="65"/>
      <c r="O20" s="65"/>
    </row>
    <row r="21" spans="1:20" s="59" customFormat="1" ht="16.5" customHeight="1" x14ac:dyDescent="0.35">
      <c r="A21" s="63"/>
      <c r="B21" s="3" t="s">
        <v>341</v>
      </c>
      <c r="C21" s="3"/>
      <c r="D21" s="3"/>
      <c r="E21" s="3"/>
      <c r="F21" s="3"/>
      <c r="G21" s="3"/>
      <c r="H21" s="95"/>
      <c r="I21" s="67" t="s">
        <v>121</v>
      </c>
      <c r="J21" s="3"/>
      <c r="K21" s="3"/>
      <c r="L21" s="65"/>
      <c r="N21" s="65"/>
      <c r="O21" s="65"/>
    </row>
    <row r="22" spans="1:20" s="59" customFormat="1" ht="16.5" customHeight="1" x14ac:dyDescent="0.35">
      <c r="A22" s="63"/>
      <c r="B22" s="3" t="s">
        <v>342</v>
      </c>
      <c r="C22" s="3"/>
      <c r="D22" s="3"/>
      <c r="E22" s="3"/>
      <c r="F22" s="3"/>
      <c r="G22" s="3"/>
      <c r="H22" s="95"/>
      <c r="I22" s="67" t="s">
        <v>121</v>
      </c>
      <c r="J22" s="3"/>
      <c r="K22" s="3"/>
      <c r="L22" s="65"/>
      <c r="N22" s="65"/>
      <c r="O22" s="65"/>
    </row>
    <row r="23" spans="1:20" ht="16.5" x14ac:dyDescent="0.35">
      <c r="A23" s="63"/>
      <c r="B23" s="66"/>
      <c r="C23" s="59"/>
      <c r="D23" s="59"/>
      <c r="E23" s="64"/>
      <c r="F23" s="64"/>
      <c r="G23" s="59"/>
      <c r="H23" s="59"/>
      <c r="I23" s="59"/>
      <c r="J23" s="63"/>
      <c r="K23" s="65"/>
      <c r="L23" s="65"/>
      <c r="M23" s="65"/>
      <c r="N23" s="65"/>
      <c r="O23" s="65"/>
      <c r="P23" s="59"/>
      <c r="Q23" s="59"/>
      <c r="R23" s="59"/>
      <c r="S23" s="59"/>
    </row>
    <row r="24" spans="1:20" ht="16.5" x14ac:dyDescent="0.35">
      <c r="A24" s="63"/>
      <c r="B24" s="99" t="s">
        <v>117</v>
      </c>
      <c r="C24" s="187" t="s">
        <v>169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59"/>
    </row>
    <row r="25" spans="1:20" ht="16.5" x14ac:dyDescent="0.35">
      <c r="A25" s="63"/>
      <c r="B25" s="67"/>
      <c r="C25" s="185" t="s">
        <v>168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59"/>
    </row>
    <row r="26" spans="1:20" ht="16.5" x14ac:dyDescent="0.35">
      <c r="A26" s="63"/>
      <c r="B26" s="67"/>
      <c r="C26" s="185" t="s">
        <v>173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59"/>
    </row>
    <row r="27" spans="1:20" ht="16.5" x14ac:dyDescent="0.35">
      <c r="A27" s="63"/>
      <c r="B27" s="67"/>
      <c r="C27" s="185" t="s">
        <v>174</v>
      </c>
      <c r="D27" s="185"/>
      <c r="E27" s="185"/>
      <c r="F27" s="185"/>
      <c r="G27" s="185"/>
      <c r="H27" s="185"/>
      <c r="I27" s="185"/>
      <c r="J27" s="185"/>
      <c r="K27" s="185"/>
      <c r="L27" s="185"/>
      <c r="M27" s="213" t="s">
        <v>343</v>
      </c>
      <c r="N27" s="213"/>
      <c r="O27" s="106"/>
      <c r="P27" s="107"/>
      <c r="Q27" s="107"/>
      <c r="R27" s="107"/>
      <c r="S27" s="59"/>
    </row>
    <row r="28" spans="1:20" ht="16.5" x14ac:dyDescent="0.35">
      <c r="A28" s="63"/>
      <c r="B28" s="66"/>
      <c r="D28" s="59"/>
      <c r="E28" s="64"/>
      <c r="F28" s="64"/>
      <c r="G28" s="59"/>
      <c r="H28" s="59"/>
      <c r="I28" s="59"/>
      <c r="J28" s="63"/>
      <c r="K28" s="65"/>
      <c r="L28" s="65"/>
      <c r="M28" s="98"/>
      <c r="O28" s="65"/>
      <c r="P28" s="59"/>
      <c r="Q28" s="59"/>
      <c r="R28" s="59"/>
      <c r="S28" s="59"/>
    </row>
    <row r="29" spans="1:20" s="70" customFormat="1" ht="15" customHeight="1" x14ac:dyDescent="0.3">
      <c r="A29" s="190" t="s">
        <v>35</v>
      </c>
      <c r="B29" s="195" t="s">
        <v>176</v>
      </c>
      <c r="C29" s="196"/>
      <c r="D29" s="196"/>
      <c r="E29" s="196"/>
      <c r="F29" s="196"/>
      <c r="G29" s="197"/>
      <c r="H29" s="204" t="s">
        <v>177</v>
      </c>
      <c r="I29" s="205"/>
      <c r="J29" s="205"/>
      <c r="K29" s="205"/>
      <c r="L29" s="206"/>
      <c r="M29" s="214" t="s">
        <v>178</v>
      </c>
      <c r="N29" s="215"/>
      <c r="O29" s="215"/>
      <c r="P29" s="216"/>
      <c r="Q29" s="181" t="s">
        <v>179</v>
      </c>
      <c r="R29" s="181"/>
      <c r="S29" s="74"/>
    </row>
    <row r="30" spans="1:20" s="70" customFormat="1" ht="15" customHeight="1" x14ac:dyDescent="0.3">
      <c r="A30" s="191"/>
      <c r="B30" s="198"/>
      <c r="C30" s="199"/>
      <c r="D30" s="199"/>
      <c r="E30" s="199"/>
      <c r="F30" s="199"/>
      <c r="G30" s="200"/>
      <c r="H30" s="207"/>
      <c r="I30" s="208"/>
      <c r="J30" s="208"/>
      <c r="K30" s="208"/>
      <c r="L30" s="209"/>
      <c r="M30" s="217"/>
      <c r="N30" s="218"/>
      <c r="O30" s="218"/>
      <c r="P30" s="219"/>
      <c r="Q30" s="181"/>
      <c r="R30" s="181"/>
      <c r="S30" s="74"/>
    </row>
    <row r="31" spans="1:20" s="73" customFormat="1" ht="68.25" customHeight="1" x14ac:dyDescent="0.3">
      <c r="A31" s="192"/>
      <c r="B31" s="76" t="s">
        <v>132</v>
      </c>
      <c r="C31" s="76" t="s">
        <v>38</v>
      </c>
      <c r="D31" s="76" t="s">
        <v>133</v>
      </c>
      <c r="E31" s="76" t="s">
        <v>39</v>
      </c>
      <c r="F31" s="76" t="s">
        <v>134</v>
      </c>
      <c r="G31" s="76" t="s">
        <v>40</v>
      </c>
      <c r="H31" s="77" t="s">
        <v>135</v>
      </c>
      <c r="I31" s="78" t="s">
        <v>142</v>
      </c>
      <c r="J31" s="77" t="s">
        <v>144</v>
      </c>
      <c r="K31" s="78" t="s">
        <v>143</v>
      </c>
      <c r="L31" s="77" t="s">
        <v>145</v>
      </c>
      <c r="M31" s="75" t="s">
        <v>130</v>
      </c>
      <c r="N31" s="75" t="s">
        <v>131</v>
      </c>
      <c r="O31" s="75" t="s">
        <v>128</v>
      </c>
      <c r="P31" s="75" t="s">
        <v>129</v>
      </c>
      <c r="Q31" s="181"/>
      <c r="R31" s="181"/>
      <c r="S31" s="166"/>
    </row>
    <row r="32" spans="1:20" s="70" customFormat="1" ht="14" x14ac:dyDescent="0.3">
      <c r="A32" s="110"/>
      <c r="B32" s="111"/>
      <c r="C32" s="110"/>
      <c r="D32" s="111"/>
      <c r="E32" s="111"/>
      <c r="F32" s="110"/>
      <c r="G32" s="110"/>
      <c r="H32" s="110"/>
      <c r="I32" s="110"/>
      <c r="J32" s="110"/>
      <c r="K32" s="110"/>
      <c r="L32" s="110"/>
      <c r="M32" s="110"/>
      <c r="N32" s="110"/>
      <c r="O32" s="112"/>
      <c r="P32" s="113" t="str">
        <f t="shared" ref="P32:P41" si="0">IF(O32=0,"No input",IF(O32&gt;=3%,IF(O32&lt;=5%,"YES","&gt;5%"),"&lt;3%"))</f>
        <v>No input</v>
      </c>
      <c r="Q32" s="180"/>
      <c r="R32" s="180"/>
      <c r="S32" s="74"/>
      <c r="T32" s="86" t="s">
        <v>92</v>
      </c>
    </row>
    <row r="33" spans="1:20" s="70" customFormat="1" ht="14" x14ac:dyDescent="0.3">
      <c r="A33" s="110"/>
      <c r="B33" s="111"/>
      <c r="C33" s="110"/>
      <c r="D33" s="111"/>
      <c r="E33" s="111"/>
      <c r="F33" s="110"/>
      <c r="G33" s="110"/>
      <c r="H33" s="110"/>
      <c r="I33" s="110"/>
      <c r="J33" s="110"/>
      <c r="K33" s="110"/>
      <c r="L33" s="110"/>
      <c r="M33" s="110"/>
      <c r="N33" s="110"/>
      <c r="O33" s="112"/>
      <c r="P33" s="113" t="str">
        <f t="shared" si="0"/>
        <v>No input</v>
      </c>
      <c r="Q33" s="180"/>
      <c r="R33" s="180"/>
      <c r="S33" s="74"/>
    </row>
    <row r="34" spans="1:20" s="70" customFormat="1" ht="14" x14ac:dyDescent="0.3">
      <c r="A34" s="110"/>
      <c r="B34" s="111"/>
      <c r="C34" s="110"/>
      <c r="D34" s="111"/>
      <c r="E34" s="111"/>
      <c r="F34" s="110"/>
      <c r="G34" s="110"/>
      <c r="H34" s="110"/>
      <c r="I34" s="110"/>
      <c r="J34" s="110"/>
      <c r="K34" s="110"/>
      <c r="L34" s="110"/>
      <c r="M34" s="110"/>
      <c r="N34" s="110"/>
      <c r="O34" s="112"/>
      <c r="P34" s="113" t="str">
        <f t="shared" si="0"/>
        <v>No input</v>
      </c>
      <c r="Q34" s="180"/>
      <c r="R34" s="180"/>
      <c r="S34" s="74"/>
    </row>
    <row r="35" spans="1:20" s="70" customFormat="1" ht="14" x14ac:dyDescent="0.3">
      <c r="A35" s="110"/>
      <c r="B35" s="111"/>
      <c r="C35" s="110"/>
      <c r="D35" s="111"/>
      <c r="E35" s="111"/>
      <c r="F35" s="110"/>
      <c r="G35" s="110"/>
      <c r="H35" s="110"/>
      <c r="I35" s="110"/>
      <c r="J35" s="110"/>
      <c r="K35" s="110"/>
      <c r="L35" s="110"/>
      <c r="M35" s="110"/>
      <c r="N35" s="110"/>
      <c r="O35" s="112"/>
      <c r="P35" s="113" t="str">
        <f t="shared" si="0"/>
        <v>No input</v>
      </c>
      <c r="Q35" s="180"/>
      <c r="R35" s="180"/>
      <c r="S35" s="74"/>
    </row>
    <row r="36" spans="1:20" s="70" customFormat="1" ht="14" x14ac:dyDescent="0.3">
      <c r="A36" s="110"/>
      <c r="B36" s="111"/>
      <c r="C36" s="110"/>
      <c r="D36" s="111"/>
      <c r="E36" s="111"/>
      <c r="F36" s="110"/>
      <c r="G36" s="110"/>
      <c r="H36" s="110"/>
      <c r="I36" s="110"/>
      <c r="J36" s="110"/>
      <c r="K36" s="110"/>
      <c r="L36" s="110"/>
      <c r="M36" s="110"/>
      <c r="N36" s="110"/>
      <c r="O36" s="112"/>
      <c r="P36" s="113" t="str">
        <f t="shared" si="0"/>
        <v>No input</v>
      </c>
      <c r="Q36" s="180"/>
      <c r="R36" s="180"/>
      <c r="S36" s="74"/>
    </row>
    <row r="37" spans="1:20" s="70" customFormat="1" ht="14" x14ac:dyDescent="0.3">
      <c r="A37" s="110"/>
      <c r="B37" s="111"/>
      <c r="C37" s="110"/>
      <c r="D37" s="111"/>
      <c r="E37" s="111"/>
      <c r="F37" s="110"/>
      <c r="G37" s="110"/>
      <c r="H37" s="110"/>
      <c r="I37" s="110"/>
      <c r="J37" s="110"/>
      <c r="K37" s="110"/>
      <c r="L37" s="110"/>
      <c r="M37" s="110"/>
      <c r="N37" s="110"/>
      <c r="O37" s="112"/>
      <c r="P37" s="113" t="str">
        <f t="shared" si="0"/>
        <v>No input</v>
      </c>
      <c r="Q37" s="180"/>
      <c r="R37" s="180"/>
      <c r="S37" s="74"/>
    </row>
    <row r="38" spans="1:20" s="70" customFormat="1" ht="14" x14ac:dyDescent="0.3">
      <c r="A38" s="110"/>
      <c r="B38" s="111"/>
      <c r="C38" s="110"/>
      <c r="D38" s="111"/>
      <c r="E38" s="111"/>
      <c r="F38" s="110"/>
      <c r="G38" s="110"/>
      <c r="H38" s="110"/>
      <c r="I38" s="110"/>
      <c r="J38" s="110"/>
      <c r="K38" s="110"/>
      <c r="L38" s="110"/>
      <c r="M38" s="110"/>
      <c r="N38" s="110"/>
      <c r="O38" s="112"/>
      <c r="P38" s="113" t="str">
        <f t="shared" si="0"/>
        <v>No input</v>
      </c>
      <c r="Q38" s="180"/>
      <c r="R38" s="180"/>
      <c r="S38" s="74"/>
    </row>
    <row r="39" spans="1:20" s="70" customFormat="1" ht="14" x14ac:dyDescent="0.3">
      <c r="A39" s="110"/>
      <c r="B39" s="111"/>
      <c r="C39" s="110"/>
      <c r="D39" s="111"/>
      <c r="E39" s="111"/>
      <c r="F39" s="110"/>
      <c r="G39" s="110"/>
      <c r="H39" s="110"/>
      <c r="I39" s="110"/>
      <c r="J39" s="110"/>
      <c r="K39" s="110"/>
      <c r="L39" s="110"/>
      <c r="M39" s="110"/>
      <c r="N39" s="110"/>
      <c r="O39" s="112"/>
      <c r="P39" s="113" t="str">
        <f t="shared" si="0"/>
        <v>No input</v>
      </c>
      <c r="Q39" s="180"/>
      <c r="R39" s="180"/>
      <c r="S39" s="74"/>
    </row>
    <row r="40" spans="1:20" s="70" customFormat="1" ht="14" x14ac:dyDescent="0.3">
      <c r="A40" s="110"/>
      <c r="B40" s="111"/>
      <c r="C40" s="110"/>
      <c r="D40" s="111"/>
      <c r="E40" s="111"/>
      <c r="F40" s="110"/>
      <c r="G40" s="110"/>
      <c r="H40" s="110"/>
      <c r="I40" s="110"/>
      <c r="J40" s="110"/>
      <c r="K40" s="110"/>
      <c r="L40" s="110"/>
      <c r="M40" s="110"/>
      <c r="N40" s="110"/>
      <c r="O40" s="112"/>
      <c r="P40" s="113" t="str">
        <f t="shared" si="0"/>
        <v>No input</v>
      </c>
      <c r="Q40" s="180"/>
      <c r="R40" s="180"/>
      <c r="S40" s="74"/>
    </row>
    <row r="41" spans="1:20" s="70" customFormat="1" ht="14" x14ac:dyDescent="0.3">
      <c r="A41" s="110"/>
      <c r="B41" s="111"/>
      <c r="C41" s="110"/>
      <c r="D41" s="111"/>
      <c r="E41" s="111"/>
      <c r="F41" s="110"/>
      <c r="G41" s="110"/>
      <c r="H41" s="110"/>
      <c r="I41" s="110"/>
      <c r="J41" s="110"/>
      <c r="K41" s="110"/>
      <c r="L41" s="110"/>
      <c r="M41" s="110"/>
      <c r="N41" s="110"/>
      <c r="O41" s="112"/>
      <c r="P41" s="113" t="str">
        <f t="shared" si="0"/>
        <v>No input</v>
      </c>
      <c r="Q41" s="180"/>
      <c r="R41" s="180"/>
      <c r="S41" s="74"/>
    </row>
    <row r="42" spans="1:20" s="70" customFormat="1" ht="14" x14ac:dyDescent="0.3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74"/>
    </row>
    <row r="43" spans="1:20" s="70" customFormat="1" ht="14" x14ac:dyDescent="0.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74"/>
    </row>
    <row r="44" spans="1:20" s="70" customFormat="1" ht="14.25" customHeight="1" x14ac:dyDescent="0.3">
      <c r="A44" s="190" t="s">
        <v>35</v>
      </c>
      <c r="B44" s="237" t="s">
        <v>180</v>
      </c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6" t="s">
        <v>179</v>
      </c>
      <c r="P44" s="236"/>
      <c r="Q44" s="74"/>
      <c r="R44" s="74"/>
      <c r="S44" s="74"/>
      <c r="T44" s="86" t="s">
        <v>13</v>
      </c>
    </row>
    <row r="45" spans="1:20" s="70" customFormat="1" ht="14.25" customHeight="1" x14ac:dyDescent="0.3">
      <c r="A45" s="191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6"/>
      <c r="P45" s="236"/>
      <c r="Q45" s="74"/>
      <c r="R45" s="74"/>
      <c r="S45" s="74"/>
    </row>
    <row r="46" spans="1:20" s="70" customFormat="1" ht="65.5" x14ac:dyDescent="0.4">
      <c r="A46" s="192"/>
      <c r="B46" s="79" t="s">
        <v>109</v>
      </c>
      <c r="C46" s="79" t="s">
        <v>136</v>
      </c>
      <c r="D46" s="79" t="s">
        <v>137</v>
      </c>
      <c r="E46" s="79" t="s">
        <v>113</v>
      </c>
      <c r="F46" s="79" t="s">
        <v>54</v>
      </c>
      <c r="G46" s="79" t="s">
        <v>106</v>
      </c>
      <c r="H46" s="79" t="s">
        <v>152</v>
      </c>
      <c r="I46" s="108" t="s">
        <v>138</v>
      </c>
      <c r="J46" s="108" t="s">
        <v>184</v>
      </c>
      <c r="K46" s="108" t="s">
        <v>165</v>
      </c>
      <c r="L46" s="108" t="s">
        <v>57</v>
      </c>
      <c r="M46" s="108" t="s">
        <v>139</v>
      </c>
      <c r="N46" s="80" t="s">
        <v>140</v>
      </c>
      <c r="O46" s="236"/>
      <c r="P46" s="236"/>
      <c r="Q46" s="74"/>
      <c r="R46" s="74"/>
      <c r="S46" s="74"/>
    </row>
    <row r="47" spans="1:20" s="70" customFormat="1" ht="14" x14ac:dyDescent="0.3">
      <c r="A47" s="114">
        <f t="shared" ref="A47:A56" si="1">A32</f>
        <v>0</v>
      </c>
      <c r="B47" s="110"/>
      <c r="C47" s="110"/>
      <c r="D47" s="110"/>
      <c r="E47" s="110"/>
      <c r="F47" s="110"/>
      <c r="G47" s="115" t="str">
        <f>IF(F47=0,"No input",IF(F47&lt;4,"TOO STEEP","YES"))</f>
        <v>No input</v>
      </c>
      <c r="H47" s="110"/>
      <c r="I47" s="110"/>
      <c r="J47" s="147"/>
      <c r="K47" s="116"/>
      <c r="L47" s="110"/>
      <c r="M47" s="110"/>
      <c r="N47" s="115" t="str">
        <f t="shared" ref="N47:N56" si="2">IF(M47=0,"No input",IF(M47&gt;=J32,"YES","NO"))</f>
        <v>No input</v>
      </c>
      <c r="O47" s="180"/>
      <c r="P47" s="180"/>
      <c r="Q47" s="74"/>
      <c r="R47" s="74"/>
      <c r="S47" s="74"/>
      <c r="T47" s="86"/>
    </row>
    <row r="48" spans="1:20" s="70" customFormat="1" ht="14" x14ac:dyDescent="0.3">
      <c r="A48" s="114">
        <f t="shared" si="1"/>
        <v>0</v>
      </c>
      <c r="B48" s="110"/>
      <c r="C48" s="110"/>
      <c r="D48" s="110"/>
      <c r="E48" s="110"/>
      <c r="F48" s="110"/>
      <c r="G48" s="115" t="str">
        <f t="shared" ref="G48:G56" si="3">IF(F48=0,"No input",IF(F48&lt;4,"TOO STEEP","YES"))</f>
        <v>No input</v>
      </c>
      <c r="H48" s="110"/>
      <c r="I48" s="110"/>
      <c r="J48" s="147"/>
      <c r="K48" s="116"/>
      <c r="L48" s="110"/>
      <c r="M48" s="110"/>
      <c r="N48" s="115" t="str">
        <f t="shared" si="2"/>
        <v>No input</v>
      </c>
      <c r="O48" s="180"/>
      <c r="P48" s="180"/>
      <c r="Q48" s="74"/>
      <c r="R48" s="74"/>
      <c r="S48" s="74"/>
    </row>
    <row r="49" spans="1:20" s="70" customFormat="1" ht="14" x14ac:dyDescent="0.3">
      <c r="A49" s="114">
        <f t="shared" si="1"/>
        <v>0</v>
      </c>
      <c r="B49" s="110"/>
      <c r="C49" s="110"/>
      <c r="D49" s="110"/>
      <c r="E49" s="110"/>
      <c r="F49" s="110"/>
      <c r="G49" s="115" t="str">
        <f t="shared" si="3"/>
        <v>No input</v>
      </c>
      <c r="H49" s="110"/>
      <c r="I49" s="110"/>
      <c r="J49" s="147"/>
      <c r="K49" s="116"/>
      <c r="L49" s="110"/>
      <c r="M49" s="110"/>
      <c r="N49" s="115" t="str">
        <f t="shared" si="2"/>
        <v>No input</v>
      </c>
      <c r="O49" s="180"/>
      <c r="P49" s="180"/>
      <c r="Q49" s="74"/>
      <c r="R49" s="74"/>
      <c r="S49" s="74"/>
    </row>
    <row r="50" spans="1:20" s="70" customFormat="1" ht="14" x14ac:dyDescent="0.3">
      <c r="A50" s="114">
        <f t="shared" si="1"/>
        <v>0</v>
      </c>
      <c r="B50" s="110"/>
      <c r="C50" s="110"/>
      <c r="D50" s="110"/>
      <c r="E50" s="110"/>
      <c r="F50" s="110"/>
      <c r="G50" s="115" t="str">
        <f t="shared" si="3"/>
        <v>No input</v>
      </c>
      <c r="H50" s="110"/>
      <c r="I50" s="110"/>
      <c r="J50" s="147"/>
      <c r="K50" s="116"/>
      <c r="L50" s="110"/>
      <c r="M50" s="110"/>
      <c r="N50" s="115" t="str">
        <f t="shared" si="2"/>
        <v>No input</v>
      </c>
      <c r="O50" s="180"/>
      <c r="P50" s="180"/>
      <c r="Q50" s="74"/>
      <c r="R50" s="74"/>
      <c r="S50" s="74"/>
    </row>
    <row r="51" spans="1:20" s="70" customFormat="1" ht="14" x14ac:dyDescent="0.3">
      <c r="A51" s="114">
        <f t="shared" si="1"/>
        <v>0</v>
      </c>
      <c r="B51" s="110"/>
      <c r="C51" s="110"/>
      <c r="D51" s="110"/>
      <c r="E51" s="110"/>
      <c r="F51" s="110"/>
      <c r="G51" s="115" t="str">
        <f t="shared" si="3"/>
        <v>No input</v>
      </c>
      <c r="H51" s="110"/>
      <c r="I51" s="110"/>
      <c r="J51" s="147"/>
      <c r="K51" s="116"/>
      <c r="L51" s="110"/>
      <c r="M51" s="110"/>
      <c r="N51" s="115" t="str">
        <f t="shared" si="2"/>
        <v>No input</v>
      </c>
      <c r="O51" s="180"/>
      <c r="P51" s="180"/>
      <c r="Q51" s="74"/>
      <c r="R51" s="74"/>
      <c r="S51" s="74"/>
    </row>
    <row r="52" spans="1:20" s="70" customFormat="1" ht="14" x14ac:dyDescent="0.3">
      <c r="A52" s="114">
        <f t="shared" si="1"/>
        <v>0</v>
      </c>
      <c r="B52" s="110"/>
      <c r="C52" s="110"/>
      <c r="D52" s="110"/>
      <c r="E52" s="110"/>
      <c r="F52" s="110"/>
      <c r="G52" s="115" t="str">
        <f t="shared" si="3"/>
        <v>No input</v>
      </c>
      <c r="H52" s="110"/>
      <c r="I52" s="110"/>
      <c r="J52" s="147"/>
      <c r="K52" s="116"/>
      <c r="L52" s="110"/>
      <c r="M52" s="110"/>
      <c r="N52" s="115" t="str">
        <f t="shared" si="2"/>
        <v>No input</v>
      </c>
      <c r="O52" s="180"/>
      <c r="P52" s="180"/>
      <c r="Q52" s="74"/>
      <c r="R52" s="74"/>
      <c r="S52" s="74"/>
    </row>
    <row r="53" spans="1:20" s="70" customFormat="1" ht="14" x14ac:dyDescent="0.3">
      <c r="A53" s="114">
        <f t="shared" si="1"/>
        <v>0</v>
      </c>
      <c r="B53" s="110"/>
      <c r="C53" s="110"/>
      <c r="D53" s="110"/>
      <c r="E53" s="110"/>
      <c r="F53" s="110"/>
      <c r="G53" s="115" t="str">
        <f t="shared" si="3"/>
        <v>No input</v>
      </c>
      <c r="H53" s="110"/>
      <c r="I53" s="110"/>
      <c r="J53" s="147"/>
      <c r="K53" s="116"/>
      <c r="L53" s="110"/>
      <c r="M53" s="110"/>
      <c r="N53" s="115" t="str">
        <f t="shared" si="2"/>
        <v>No input</v>
      </c>
      <c r="O53" s="180"/>
      <c r="P53" s="180"/>
      <c r="Q53" s="74"/>
      <c r="R53" s="74"/>
      <c r="S53" s="74"/>
    </row>
    <row r="54" spans="1:20" s="70" customFormat="1" ht="14" x14ac:dyDescent="0.3">
      <c r="A54" s="114">
        <f t="shared" si="1"/>
        <v>0</v>
      </c>
      <c r="B54" s="110"/>
      <c r="C54" s="110"/>
      <c r="D54" s="110"/>
      <c r="E54" s="110"/>
      <c r="F54" s="110"/>
      <c r="G54" s="115" t="str">
        <f t="shared" si="3"/>
        <v>No input</v>
      </c>
      <c r="H54" s="110"/>
      <c r="I54" s="110"/>
      <c r="J54" s="147"/>
      <c r="K54" s="116"/>
      <c r="L54" s="110"/>
      <c r="M54" s="110"/>
      <c r="N54" s="115" t="str">
        <f t="shared" si="2"/>
        <v>No input</v>
      </c>
      <c r="O54" s="180"/>
      <c r="P54" s="180"/>
      <c r="Q54" s="74"/>
      <c r="R54" s="74"/>
      <c r="S54" s="74"/>
    </row>
    <row r="55" spans="1:20" s="70" customFormat="1" ht="14" x14ac:dyDescent="0.3">
      <c r="A55" s="114">
        <f t="shared" si="1"/>
        <v>0</v>
      </c>
      <c r="B55" s="110"/>
      <c r="C55" s="110"/>
      <c r="D55" s="110"/>
      <c r="E55" s="110"/>
      <c r="F55" s="110"/>
      <c r="G55" s="115" t="str">
        <f t="shared" si="3"/>
        <v>No input</v>
      </c>
      <c r="H55" s="110"/>
      <c r="I55" s="110"/>
      <c r="J55" s="147"/>
      <c r="K55" s="116"/>
      <c r="L55" s="110"/>
      <c r="M55" s="110"/>
      <c r="N55" s="115" t="str">
        <f t="shared" si="2"/>
        <v>No input</v>
      </c>
      <c r="O55" s="180"/>
      <c r="P55" s="180"/>
      <c r="Q55" s="74"/>
      <c r="R55" s="74"/>
      <c r="S55" s="74"/>
    </row>
    <row r="56" spans="1:20" s="70" customFormat="1" ht="14" x14ac:dyDescent="0.3">
      <c r="A56" s="114">
        <f t="shared" si="1"/>
        <v>0</v>
      </c>
      <c r="B56" s="110"/>
      <c r="C56" s="110"/>
      <c r="D56" s="110"/>
      <c r="E56" s="110"/>
      <c r="F56" s="110"/>
      <c r="G56" s="115" t="str">
        <f t="shared" si="3"/>
        <v>No input</v>
      </c>
      <c r="H56" s="110"/>
      <c r="I56" s="110"/>
      <c r="J56" s="147"/>
      <c r="K56" s="116"/>
      <c r="L56" s="110"/>
      <c r="M56" s="110"/>
      <c r="N56" s="115" t="str">
        <f t="shared" si="2"/>
        <v>No input</v>
      </c>
      <c r="O56" s="180"/>
      <c r="P56" s="180"/>
      <c r="Q56" s="74"/>
      <c r="R56" s="74"/>
      <c r="S56" s="74"/>
    </row>
    <row r="57" spans="1:20" s="70" customFormat="1" ht="16" x14ac:dyDescent="0.4">
      <c r="A57" s="59"/>
      <c r="B57" s="59"/>
      <c r="C57" s="59"/>
      <c r="D57" s="59"/>
      <c r="E57" s="59"/>
      <c r="F57" s="59"/>
      <c r="G57" s="59"/>
      <c r="H57" s="59"/>
      <c r="I57" s="59"/>
      <c r="K57" s="59"/>
      <c r="L57" s="59"/>
      <c r="M57" s="59"/>
      <c r="N57" s="121" t="s">
        <v>188</v>
      </c>
      <c r="O57" s="59"/>
      <c r="P57" s="59"/>
      <c r="Q57" s="59"/>
      <c r="R57" s="59"/>
      <c r="S57" s="74"/>
    </row>
    <row r="58" spans="1:20" s="70" customFormat="1" ht="14" x14ac:dyDescent="0.3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74"/>
    </row>
    <row r="59" spans="1:20" s="70" customFormat="1" ht="14.25" customHeight="1" x14ac:dyDescent="0.3">
      <c r="A59" s="190" t="s">
        <v>35</v>
      </c>
      <c r="B59" s="179" t="s">
        <v>181</v>
      </c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238" t="s">
        <v>179</v>
      </c>
      <c r="O59" s="238"/>
      <c r="P59" s="59"/>
      <c r="Q59" s="59"/>
      <c r="R59" s="59"/>
      <c r="S59" s="74"/>
    </row>
    <row r="60" spans="1:20" s="70" customFormat="1" ht="14.25" customHeight="1" x14ac:dyDescent="0.3">
      <c r="A60" s="191"/>
      <c r="B60" s="179" t="s">
        <v>146</v>
      </c>
      <c r="C60" s="179"/>
      <c r="D60" s="179"/>
      <c r="E60" s="179"/>
      <c r="F60" s="179"/>
      <c r="G60" s="179" t="s">
        <v>147</v>
      </c>
      <c r="H60" s="179"/>
      <c r="I60" s="179"/>
      <c r="J60" s="179"/>
      <c r="K60" s="179"/>
      <c r="L60" s="179"/>
      <c r="M60" s="179"/>
      <c r="N60" s="238"/>
      <c r="O60" s="238"/>
      <c r="P60" s="59"/>
      <c r="Q60" s="59"/>
      <c r="R60" s="59"/>
      <c r="S60" s="74"/>
    </row>
    <row r="61" spans="1:20" s="70" customFormat="1" ht="54.5" x14ac:dyDescent="0.4">
      <c r="A61" s="192"/>
      <c r="B61" s="122" t="s">
        <v>189</v>
      </c>
      <c r="C61" s="122" t="s">
        <v>190</v>
      </c>
      <c r="D61" s="122" t="s">
        <v>191</v>
      </c>
      <c r="E61" s="122" t="s">
        <v>192</v>
      </c>
      <c r="F61" s="122" t="s">
        <v>193</v>
      </c>
      <c r="G61" s="122" t="s">
        <v>194</v>
      </c>
      <c r="H61" s="122" t="s">
        <v>195</v>
      </c>
      <c r="I61" s="122" t="s">
        <v>196</v>
      </c>
      <c r="J61" s="122" t="s">
        <v>197</v>
      </c>
      <c r="K61" s="122" t="s">
        <v>198</v>
      </c>
      <c r="L61" s="122" t="s">
        <v>199</v>
      </c>
      <c r="M61" s="122" t="s">
        <v>200</v>
      </c>
      <c r="N61" s="238"/>
      <c r="O61" s="238"/>
      <c r="P61" s="59"/>
      <c r="Q61" s="59"/>
      <c r="R61" s="59"/>
      <c r="S61" s="74"/>
      <c r="T61" s="86" t="s">
        <v>154</v>
      </c>
    </row>
    <row r="62" spans="1:20" s="70" customFormat="1" ht="14" x14ac:dyDescent="0.3">
      <c r="A62" s="114">
        <f t="shared" ref="A62:A71" si="4">A32</f>
        <v>0</v>
      </c>
      <c r="B62" s="110"/>
      <c r="C62" s="148"/>
      <c r="D62" s="110"/>
      <c r="E62" s="110"/>
      <c r="F62" s="115" t="str">
        <f>IF(E62=0,"No input",IF(E62&lt;0.5,"YES","NO"))</f>
        <v>No input</v>
      </c>
      <c r="G62" s="110"/>
      <c r="H62" s="148"/>
      <c r="I62" s="110"/>
      <c r="J62" s="110"/>
      <c r="K62" s="115" t="str">
        <f>IF(J62=0,"No input",IF(J62&lt;2,"YES","NO"))</f>
        <v>No input</v>
      </c>
      <c r="L62" s="110"/>
      <c r="M62" s="115" t="str">
        <f>IF(L62=0,"No input",IF(L62&lt;0.4,"YES","NO"))</f>
        <v>No input</v>
      </c>
      <c r="N62" s="180"/>
      <c r="O62" s="180"/>
      <c r="P62" s="59"/>
      <c r="Q62" s="59"/>
      <c r="R62" s="59"/>
      <c r="S62" s="74"/>
    </row>
    <row r="63" spans="1:20" x14ac:dyDescent="0.25">
      <c r="A63" s="114">
        <f t="shared" si="4"/>
        <v>0</v>
      </c>
      <c r="B63" s="110"/>
      <c r="C63" s="149"/>
      <c r="D63" s="110"/>
      <c r="E63" s="110"/>
      <c r="F63" s="115" t="str">
        <f t="shared" ref="F63:F71" si="5">IF(E63=0,"No input",IF(E63&lt;0.5,"YES","NO"))</f>
        <v>No input</v>
      </c>
      <c r="G63" s="110"/>
      <c r="H63" s="149"/>
      <c r="I63" s="110"/>
      <c r="J63" s="110"/>
      <c r="K63" s="115" t="str">
        <f t="shared" ref="K63:K71" si="6">IF(J63=0,"No input",IF(J63&lt;2,"YES","NO"))</f>
        <v>No input</v>
      </c>
      <c r="L63" s="110"/>
      <c r="M63" s="115" t="str">
        <f t="shared" ref="M63:M71" si="7">IF(L63=0,"No input",IF(L63&lt;0.4,"YES","NO"))</f>
        <v>No input</v>
      </c>
      <c r="N63" s="180"/>
      <c r="O63" s="180"/>
      <c r="P63" s="59"/>
      <c r="Q63" s="59"/>
      <c r="R63" s="59"/>
      <c r="S63" s="59"/>
    </row>
    <row r="64" spans="1:20" x14ac:dyDescent="0.25">
      <c r="A64" s="114">
        <f t="shared" si="4"/>
        <v>0</v>
      </c>
      <c r="B64" s="110"/>
      <c r="C64" s="149"/>
      <c r="D64" s="110"/>
      <c r="E64" s="110"/>
      <c r="F64" s="115" t="str">
        <f t="shared" si="5"/>
        <v>No input</v>
      </c>
      <c r="G64" s="110"/>
      <c r="H64" s="149"/>
      <c r="I64" s="110"/>
      <c r="J64" s="110"/>
      <c r="K64" s="115" t="str">
        <f t="shared" si="6"/>
        <v>No input</v>
      </c>
      <c r="L64" s="110"/>
      <c r="M64" s="115" t="str">
        <f t="shared" si="7"/>
        <v>No input</v>
      </c>
      <c r="N64" s="180"/>
      <c r="O64" s="180"/>
      <c r="P64" s="59"/>
      <c r="Q64" s="59"/>
      <c r="R64" s="59"/>
      <c r="S64" s="59"/>
    </row>
    <row r="65" spans="1:19" x14ac:dyDescent="0.25">
      <c r="A65" s="114">
        <f t="shared" si="4"/>
        <v>0</v>
      </c>
      <c r="B65" s="110"/>
      <c r="C65" s="149"/>
      <c r="D65" s="110"/>
      <c r="E65" s="110"/>
      <c r="F65" s="115" t="str">
        <f t="shared" si="5"/>
        <v>No input</v>
      </c>
      <c r="G65" s="110"/>
      <c r="H65" s="149"/>
      <c r="I65" s="110"/>
      <c r="J65" s="110"/>
      <c r="K65" s="115" t="str">
        <f t="shared" si="6"/>
        <v>No input</v>
      </c>
      <c r="L65" s="110"/>
      <c r="M65" s="115" t="str">
        <f t="shared" si="7"/>
        <v>No input</v>
      </c>
      <c r="N65" s="180"/>
      <c r="O65" s="180"/>
      <c r="P65" s="59"/>
      <c r="Q65" s="59"/>
      <c r="R65" s="59"/>
      <c r="S65" s="59"/>
    </row>
    <row r="66" spans="1:19" x14ac:dyDescent="0.25">
      <c r="A66" s="114">
        <f t="shared" si="4"/>
        <v>0</v>
      </c>
      <c r="B66" s="110"/>
      <c r="C66" s="149"/>
      <c r="D66" s="110"/>
      <c r="E66" s="110"/>
      <c r="F66" s="115" t="str">
        <f t="shared" si="5"/>
        <v>No input</v>
      </c>
      <c r="G66" s="110"/>
      <c r="H66" s="149"/>
      <c r="I66" s="110"/>
      <c r="J66" s="110"/>
      <c r="K66" s="115" t="str">
        <f t="shared" si="6"/>
        <v>No input</v>
      </c>
      <c r="L66" s="110"/>
      <c r="M66" s="115" t="str">
        <f t="shared" si="7"/>
        <v>No input</v>
      </c>
      <c r="N66" s="180"/>
      <c r="O66" s="180"/>
      <c r="P66" s="59"/>
      <c r="Q66" s="59"/>
      <c r="R66" s="59"/>
      <c r="S66" s="59"/>
    </row>
    <row r="67" spans="1:19" x14ac:dyDescent="0.25">
      <c r="A67" s="114">
        <f t="shared" si="4"/>
        <v>0</v>
      </c>
      <c r="B67" s="110"/>
      <c r="C67" s="149"/>
      <c r="D67" s="110"/>
      <c r="E67" s="110"/>
      <c r="F67" s="115" t="str">
        <f t="shared" si="5"/>
        <v>No input</v>
      </c>
      <c r="G67" s="110"/>
      <c r="H67" s="149"/>
      <c r="I67" s="110"/>
      <c r="J67" s="110"/>
      <c r="K67" s="115" t="str">
        <f t="shared" si="6"/>
        <v>No input</v>
      </c>
      <c r="L67" s="110"/>
      <c r="M67" s="115" t="str">
        <f t="shared" si="7"/>
        <v>No input</v>
      </c>
      <c r="N67" s="180"/>
      <c r="O67" s="180"/>
      <c r="P67" s="59"/>
      <c r="Q67" s="59"/>
      <c r="R67" s="59"/>
      <c r="S67" s="59"/>
    </row>
    <row r="68" spans="1:19" x14ac:dyDescent="0.25">
      <c r="A68" s="114">
        <f t="shared" si="4"/>
        <v>0</v>
      </c>
      <c r="B68" s="110"/>
      <c r="C68" s="149"/>
      <c r="D68" s="110"/>
      <c r="E68" s="110"/>
      <c r="F68" s="115" t="str">
        <f t="shared" si="5"/>
        <v>No input</v>
      </c>
      <c r="G68" s="110"/>
      <c r="H68" s="149"/>
      <c r="I68" s="110"/>
      <c r="J68" s="110"/>
      <c r="K68" s="115" t="str">
        <f t="shared" si="6"/>
        <v>No input</v>
      </c>
      <c r="L68" s="110"/>
      <c r="M68" s="115" t="str">
        <f t="shared" si="7"/>
        <v>No input</v>
      </c>
      <c r="N68" s="180"/>
      <c r="O68" s="180"/>
      <c r="P68" s="59"/>
      <c r="Q68" s="59"/>
      <c r="R68" s="59"/>
      <c r="S68" s="59"/>
    </row>
    <row r="69" spans="1:19" x14ac:dyDescent="0.25">
      <c r="A69" s="114">
        <f t="shared" si="4"/>
        <v>0</v>
      </c>
      <c r="B69" s="110"/>
      <c r="C69" s="149"/>
      <c r="D69" s="110"/>
      <c r="E69" s="110"/>
      <c r="F69" s="115" t="str">
        <f t="shared" si="5"/>
        <v>No input</v>
      </c>
      <c r="G69" s="110"/>
      <c r="H69" s="149"/>
      <c r="I69" s="110"/>
      <c r="J69" s="110"/>
      <c r="K69" s="115" t="str">
        <f t="shared" si="6"/>
        <v>No input</v>
      </c>
      <c r="L69" s="110"/>
      <c r="M69" s="115" t="str">
        <f t="shared" si="7"/>
        <v>No input</v>
      </c>
      <c r="N69" s="180"/>
      <c r="O69" s="180"/>
      <c r="P69" s="59"/>
      <c r="Q69" s="59"/>
      <c r="R69" s="59"/>
      <c r="S69" s="59"/>
    </row>
    <row r="70" spans="1:19" x14ac:dyDescent="0.25">
      <c r="A70" s="114">
        <f t="shared" si="4"/>
        <v>0</v>
      </c>
      <c r="B70" s="110"/>
      <c r="C70" s="149"/>
      <c r="D70" s="110"/>
      <c r="E70" s="110"/>
      <c r="F70" s="115" t="str">
        <f t="shared" si="5"/>
        <v>No input</v>
      </c>
      <c r="G70" s="110"/>
      <c r="H70" s="149"/>
      <c r="I70" s="110"/>
      <c r="J70" s="110"/>
      <c r="K70" s="115" t="str">
        <f t="shared" si="6"/>
        <v>No input</v>
      </c>
      <c r="L70" s="110"/>
      <c r="M70" s="115" t="str">
        <f t="shared" si="7"/>
        <v>No input</v>
      </c>
      <c r="N70" s="180"/>
      <c r="O70" s="180"/>
      <c r="P70" s="59"/>
      <c r="Q70" s="59"/>
      <c r="R70" s="59"/>
      <c r="S70" s="59"/>
    </row>
    <row r="71" spans="1:19" x14ac:dyDescent="0.25">
      <c r="A71" s="114">
        <f t="shared" si="4"/>
        <v>0</v>
      </c>
      <c r="B71" s="110"/>
      <c r="C71" s="149"/>
      <c r="D71" s="110"/>
      <c r="E71" s="110"/>
      <c r="F71" s="115" t="str">
        <f t="shared" si="5"/>
        <v>No input</v>
      </c>
      <c r="G71" s="110"/>
      <c r="H71" s="149"/>
      <c r="I71" s="110"/>
      <c r="J71" s="110"/>
      <c r="K71" s="115" t="str">
        <f t="shared" si="6"/>
        <v>No input</v>
      </c>
      <c r="L71" s="110"/>
      <c r="M71" s="115" t="str">
        <f t="shared" si="7"/>
        <v>No input</v>
      </c>
      <c r="N71" s="180"/>
      <c r="O71" s="180"/>
      <c r="P71" s="59"/>
      <c r="Q71" s="59"/>
      <c r="R71" s="59"/>
      <c r="S71" s="59"/>
    </row>
    <row r="72" spans="1:19" ht="15" x14ac:dyDescent="0.4">
      <c r="A72" s="123" t="s">
        <v>201</v>
      </c>
      <c r="B72" s="119"/>
      <c r="C72" s="117"/>
      <c r="D72" s="109"/>
      <c r="E72" s="119"/>
      <c r="F72" s="117"/>
      <c r="G72" s="117"/>
      <c r="H72" s="117"/>
      <c r="I72" s="118"/>
      <c r="J72" s="117"/>
      <c r="K72" s="118"/>
      <c r="L72" s="117"/>
      <c r="M72" s="117"/>
      <c r="N72" s="117"/>
      <c r="O72" s="117"/>
      <c r="P72" s="117"/>
      <c r="Q72" s="117"/>
      <c r="R72" s="59"/>
      <c r="S72" s="59"/>
    </row>
    <row r="73" spans="1:19" ht="16" x14ac:dyDescent="0.4">
      <c r="A73" s="123" t="s">
        <v>202</v>
      </c>
      <c r="B73" s="119"/>
      <c r="C73" s="117"/>
      <c r="D73" s="109"/>
      <c r="E73" s="119"/>
      <c r="F73" s="117"/>
      <c r="G73" s="117"/>
      <c r="H73" s="117"/>
      <c r="I73" s="118"/>
      <c r="J73" s="117"/>
      <c r="K73" s="118"/>
      <c r="L73" s="117"/>
      <c r="M73" s="117"/>
      <c r="N73" s="117"/>
      <c r="O73" s="117"/>
      <c r="P73" s="117"/>
      <c r="Q73" s="117"/>
      <c r="R73" s="59"/>
      <c r="S73" s="59"/>
    </row>
    <row r="74" spans="1:19" ht="13" x14ac:dyDescent="0.3">
      <c r="A74" s="123"/>
      <c r="B74" s="119"/>
      <c r="C74" s="117"/>
      <c r="D74" s="109"/>
      <c r="E74" s="119"/>
      <c r="F74" s="117"/>
      <c r="G74" s="117"/>
      <c r="H74" s="117"/>
      <c r="I74" s="118"/>
      <c r="J74" s="117"/>
      <c r="K74" s="118"/>
      <c r="L74" s="117"/>
      <c r="M74" s="117"/>
      <c r="N74" s="117"/>
      <c r="O74" s="117"/>
      <c r="P74" s="117"/>
      <c r="Q74" s="117"/>
      <c r="R74" s="59"/>
      <c r="S74" s="59"/>
    </row>
    <row r="75" spans="1:19" s="70" customFormat="1" ht="14.25" customHeight="1" x14ac:dyDescent="0.3">
      <c r="A75" s="190" t="s">
        <v>35</v>
      </c>
      <c r="B75" s="250" t="s">
        <v>335</v>
      </c>
      <c r="C75" s="251"/>
      <c r="D75" s="251"/>
      <c r="E75" s="251"/>
      <c r="F75" s="252"/>
      <c r="G75" s="256" t="s">
        <v>336</v>
      </c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38" t="s">
        <v>179</v>
      </c>
    </row>
    <row r="76" spans="1:19" s="70" customFormat="1" ht="14.25" customHeight="1" x14ac:dyDescent="0.3">
      <c r="A76" s="191"/>
      <c r="B76" s="253"/>
      <c r="C76" s="254"/>
      <c r="D76" s="254"/>
      <c r="E76" s="254"/>
      <c r="F76" s="255"/>
      <c r="G76" s="256" t="s">
        <v>258</v>
      </c>
      <c r="H76" s="256"/>
      <c r="I76" s="256"/>
      <c r="J76" s="256"/>
      <c r="K76" s="256"/>
      <c r="L76" s="256" t="s">
        <v>259</v>
      </c>
      <c r="M76" s="256"/>
      <c r="N76" s="256"/>
      <c r="O76" s="256"/>
      <c r="P76" s="256"/>
      <c r="Q76" s="256"/>
      <c r="R76" s="256"/>
      <c r="S76" s="238"/>
    </row>
    <row r="77" spans="1:19" s="70" customFormat="1" ht="67.5" x14ac:dyDescent="0.3">
      <c r="A77" s="192"/>
      <c r="B77" s="79" t="s">
        <v>260</v>
      </c>
      <c r="C77" s="79" t="s">
        <v>261</v>
      </c>
      <c r="D77" s="79" t="s">
        <v>262</v>
      </c>
      <c r="E77" s="79" t="s">
        <v>263</v>
      </c>
      <c r="F77" s="79" t="s">
        <v>264</v>
      </c>
      <c r="G77" s="75" t="s">
        <v>265</v>
      </c>
      <c r="H77" s="75" t="s">
        <v>266</v>
      </c>
      <c r="I77" s="75" t="s">
        <v>267</v>
      </c>
      <c r="J77" s="75" t="s">
        <v>268</v>
      </c>
      <c r="K77" s="75" t="s">
        <v>269</v>
      </c>
      <c r="L77" s="75" t="s">
        <v>270</v>
      </c>
      <c r="M77" s="75" t="s">
        <v>271</v>
      </c>
      <c r="N77" s="75" t="s">
        <v>272</v>
      </c>
      <c r="O77" s="75" t="s">
        <v>273</v>
      </c>
      <c r="P77" s="75" t="s">
        <v>274</v>
      </c>
      <c r="Q77" s="75" t="s">
        <v>275</v>
      </c>
      <c r="R77" s="75" t="s">
        <v>276</v>
      </c>
      <c r="S77" s="238"/>
    </row>
    <row r="78" spans="1:19" s="70" customFormat="1" ht="14" x14ac:dyDescent="0.3">
      <c r="A78" s="150">
        <f t="shared" ref="A78:A87" si="8">A62</f>
        <v>0</v>
      </c>
      <c r="B78" s="151"/>
      <c r="C78" s="151"/>
      <c r="D78" s="151"/>
      <c r="E78" s="151"/>
      <c r="F78" s="151"/>
      <c r="G78" s="152"/>
      <c r="H78" s="152"/>
      <c r="I78" s="151"/>
      <c r="J78" s="153"/>
      <c r="K78" s="154" t="str">
        <f>IF(J78=0,"No input",IF(J78&gt;=F78,"YES","NO"))</f>
        <v>No input</v>
      </c>
      <c r="L78" s="152"/>
      <c r="M78" s="151"/>
      <c r="N78" s="151"/>
      <c r="O78" s="152"/>
      <c r="P78" s="152"/>
      <c r="Q78" s="152"/>
      <c r="R78" s="154" t="str">
        <f>IF(Q78=0,"No input",IF(Q78&gt;=F78,"YES","NO"))</f>
        <v>No input</v>
      </c>
      <c r="S78" s="155"/>
    </row>
    <row r="79" spans="1:19" s="70" customFormat="1" ht="14" x14ac:dyDescent="0.3">
      <c r="A79" s="150">
        <f t="shared" si="8"/>
        <v>0</v>
      </c>
      <c r="B79" s="151"/>
      <c r="C79" s="151"/>
      <c r="D79" s="151"/>
      <c r="E79" s="151"/>
      <c r="F79" s="151"/>
      <c r="G79" s="152"/>
      <c r="H79" s="152"/>
      <c r="I79" s="151"/>
      <c r="J79" s="151"/>
      <c r="K79" s="154" t="str">
        <f t="shared" ref="K79:K87" si="9">IF(J79=0,"No input",IF(J79&gt;=F79,"YES","NO"))</f>
        <v>No input</v>
      </c>
      <c r="L79" s="152"/>
      <c r="M79" s="151"/>
      <c r="N79" s="151"/>
      <c r="O79" s="152"/>
      <c r="P79" s="152"/>
      <c r="Q79" s="152"/>
      <c r="R79" s="154" t="str">
        <f t="shared" ref="R79:R87" si="10">IF(Q79=0,"No input",IF(Q79&gt;=F79,"YES","NO"))</f>
        <v>No input</v>
      </c>
      <c r="S79" s="155"/>
    </row>
    <row r="80" spans="1:19" s="70" customFormat="1" ht="14" x14ac:dyDescent="0.3">
      <c r="A80" s="150">
        <f t="shared" si="8"/>
        <v>0</v>
      </c>
      <c r="B80" s="151"/>
      <c r="C80" s="151"/>
      <c r="D80" s="151"/>
      <c r="E80" s="151"/>
      <c r="F80" s="151"/>
      <c r="G80" s="152"/>
      <c r="H80" s="152"/>
      <c r="I80" s="151"/>
      <c r="J80" s="151"/>
      <c r="K80" s="154" t="str">
        <f t="shared" si="9"/>
        <v>No input</v>
      </c>
      <c r="L80" s="152"/>
      <c r="M80" s="151"/>
      <c r="N80" s="151"/>
      <c r="O80" s="152"/>
      <c r="P80" s="152"/>
      <c r="Q80" s="152"/>
      <c r="R80" s="154" t="str">
        <f t="shared" si="10"/>
        <v>No input</v>
      </c>
      <c r="S80" s="155"/>
    </row>
    <row r="81" spans="1:19" s="70" customFormat="1" ht="14" x14ac:dyDescent="0.3">
      <c r="A81" s="150">
        <f t="shared" si="8"/>
        <v>0</v>
      </c>
      <c r="B81" s="151"/>
      <c r="C81" s="151"/>
      <c r="D81" s="151"/>
      <c r="E81" s="151"/>
      <c r="F81" s="151"/>
      <c r="G81" s="152"/>
      <c r="H81" s="152"/>
      <c r="I81" s="151"/>
      <c r="J81" s="151"/>
      <c r="K81" s="154" t="str">
        <f t="shared" si="9"/>
        <v>No input</v>
      </c>
      <c r="L81" s="152"/>
      <c r="M81" s="151"/>
      <c r="N81" s="151"/>
      <c r="O81" s="152"/>
      <c r="P81" s="152"/>
      <c r="Q81" s="152"/>
      <c r="R81" s="154" t="str">
        <f t="shared" si="10"/>
        <v>No input</v>
      </c>
      <c r="S81" s="155"/>
    </row>
    <row r="82" spans="1:19" s="70" customFormat="1" ht="14" x14ac:dyDescent="0.3">
      <c r="A82" s="150">
        <f t="shared" si="8"/>
        <v>0</v>
      </c>
      <c r="B82" s="151"/>
      <c r="C82" s="151"/>
      <c r="D82" s="151"/>
      <c r="E82" s="151"/>
      <c r="F82" s="151"/>
      <c r="G82" s="152"/>
      <c r="H82" s="152"/>
      <c r="I82" s="151"/>
      <c r="J82" s="151"/>
      <c r="K82" s="154" t="str">
        <f t="shared" si="9"/>
        <v>No input</v>
      </c>
      <c r="L82" s="152"/>
      <c r="M82" s="151"/>
      <c r="N82" s="151"/>
      <c r="O82" s="152"/>
      <c r="P82" s="152"/>
      <c r="Q82" s="152"/>
      <c r="R82" s="154" t="str">
        <f t="shared" si="10"/>
        <v>No input</v>
      </c>
      <c r="S82" s="155"/>
    </row>
    <row r="83" spans="1:19" s="70" customFormat="1" ht="14" x14ac:dyDescent="0.3">
      <c r="A83" s="150">
        <f t="shared" si="8"/>
        <v>0</v>
      </c>
      <c r="B83" s="151"/>
      <c r="C83" s="151"/>
      <c r="D83" s="151"/>
      <c r="E83" s="151"/>
      <c r="F83" s="151"/>
      <c r="G83" s="152"/>
      <c r="H83" s="152"/>
      <c r="I83" s="151"/>
      <c r="J83" s="151"/>
      <c r="K83" s="154" t="str">
        <f t="shared" si="9"/>
        <v>No input</v>
      </c>
      <c r="L83" s="152"/>
      <c r="M83" s="151"/>
      <c r="N83" s="151"/>
      <c r="O83" s="152"/>
      <c r="P83" s="152"/>
      <c r="Q83" s="152"/>
      <c r="R83" s="154" t="str">
        <f t="shared" si="10"/>
        <v>No input</v>
      </c>
      <c r="S83" s="155"/>
    </row>
    <row r="84" spans="1:19" s="70" customFormat="1" ht="14" x14ac:dyDescent="0.3">
      <c r="A84" s="150">
        <f t="shared" si="8"/>
        <v>0</v>
      </c>
      <c r="B84" s="151"/>
      <c r="C84" s="151"/>
      <c r="D84" s="151"/>
      <c r="E84" s="151"/>
      <c r="F84" s="151"/>
      <c r="G84" s="152"/>
      <c r="H84" s="152"/>
      <c r="I84" s="151"/>
      <c r="J84" s="151"/>
      <c r="K84" s="154" t="str">
        <f t="shared" si="9"/>
        <v>No input</v>
      </c>
      <c r="L84" s="152"/>
      <c r="M84" s="151"/>
      <c r="N84" s="151"/>
      <c r="O84" s="152"/>
      <c r="P84" s="152"/>
      <c r="Q84" s="152"/>
      <c r="R84" s="154" t="str">
        <f t="shared" si="10"/>
        <v>No input</v>
      </c>
      <c r="S84" s="155"/>
    </row>
    <row r="85" spans="1:19" s="70" customFormat="1" ht="14" x14ac:dyDescent="0.3">
      <c r="A85" s="150">
        <f t="shared" si="8"/>
        <v>0</v>
      </c>
      <c r="B85" s="151"/>
      <c r="C85" s="151"/>
      <c r="D85" s="151"/>
      <c r="E85" s="151"/>
      <c r="F85" s="151"/>
      <c r="G85" s="152"/>
      <c r="H85" s="152"/>
      <c r="I85" s="151"/>
      <c r="J85" s="151"/>
      <c r="K85" s="154" t="str">
        <f t="shared" si="9"/>
        <v>No input</v>
      </c>
      <c r="L85" s="152"/>
      <c r="M85" s="151"/>
      <c r="N85" s="151"/>
      <c r="O85" s="152"/>
      <c r="P85" s="152"/>
      <c r="Q85" s="152"/>
      <c r="R85" s="154" t="str">
        <f t="shared" si="10"/>
        <v>No input</v>
      </c>
      <c r="S85" s="155"/>
    </row>
    <row r="86" spans="1:19" s="70" customFormat="1" ht="14" x14ac:dyDescent="0.3">
      <c r="A86" s="150">
        <f t="shared" si="8"/>
        <v>0</v>
      </c>
      <c r="B86" s="151"/>
      <c r="C86" s="151"/>
      <c r="D86" s="151"/>
      <c r="E86" s="151"/>
      <c r="F86" s="151"/>
      <c r="G86" s="152"/>
      <c r="H86" s="152"/>
      <c r="I86" s="151"/>
      <c r="J86" s="151"/>
      <c r="K86" s="154" t="str">
        <f t="shared" si="9"/>
        <v>No input</v>
      </c>
      <c r="L86" s="152"/>
      <c r="M86" s="151"/>
      <c r="N86" s="151"/>
      <c r="O86" s="152"/>
      <c r="P86" s="152"/>
      <c r="Q86" s="152"/>
      <c r="R86" s="154" t="str">
        <f t="shared" si="10"/>
        <v>No input</v>
      </c>
      <c r="S86" s="155"/>
    </row>
    <row r="87" spans="1:19" s="70" customFormat="1" ht="14" x14ac:dyDescent="0.3">
      <c r="A87" s="150">
        <f t="shared" si="8"/>
        <v>0</v>
      </c>
      <c r="B87" s="151"/>
      <c r="C87" s="151"/>
      <c r="D87" s="151"/>
      <c r="E87" s="151"/>
      <c r="F87" s="151"/>
      <c r="G87" s="152"/>
      <c r="H87" s="152"/>
      <c r="I87" s="151"/>
      <c r="J87" s="151"/>
      <c r="K87" s="154" t="str">
        <f t="shared" si="9"/>
        <v>No input</v>
      </c>
      <c r="L87" s="152"/>
      <c r="M87" s="151"/>
      <c r="N87" s="151"/>
      <c r="O87" s="152"/>
      <c r="P87" s="152"/>
      <c r="Q87" s="152"/>
      <c r="R87" s="154" t="str">
        <f t="shared" si="10"/>
        <v>No input</v>
      </c>
      <c r="S87" s="155"/>
    </row>
    <row r="88" spans="1:19" s="70" customFormat="1" ht="15" x14ac:dyDescent="0.3">
      <c r="A88" s="74"/>
      <c r="B88" s="156"/>
      <c r="C88" s="156"/>
      <c r="D88" s="156"/>
      <c r="E88" s="156"/>
      <c r="F88" s="156"/>
      <c r="G88" s="157"/>
      <c r="H88" s="158"/>
      <c r="I88" s="158" t="s">
        <v>277</v>
      </c>
      <c r="J88" s="159"/>
      <c r="K88" s="117"/>
      <c r="L88" s="117"/>
      <c r="M88" s="118"/>
      <c r="N88" s="59"/>
      <c r="O88" s="74"/>
      <c r="P88" s="158" t="s">
        <v>278</v>
      </c>
      <c r="Q88" s="160"/>
      <c r="R88" s="44"/>
      <c r="S88" s="74"/>
    </row>
    <row r="89" spans="1:19" s="70" customFormat="1" ht="16" x14ac:dyDescent="0.4">
      <c r="A89" s="74"/>
      <c r="B89" s="156"/>
      <c r="C89" s="156"/>
      <c r="D89" s="156"/>
      <c r="E89" s="156"/>
      <c r="F89" s="156"/>
      <c r="G89" s="157"/>
      <c r="H89" s="158"/>
      <c r="I89" s="158" t="s">
        <v>279</v>
      </c>
      <c r="J89" s="161"/>
      <c r="K89" s="59"/>
      <c r="L89" s="59"/>
      <c r="M89" s="118"/>
      <c r="N89" s="107"/>
      <c r="O89" s="74"/>
      <c r="P89" s="158" t="s">
        <v>280</v>
      </c>
      <c r="Q89" s="101"/>
      <c r="R89" s="59" t="s">
        <v>281</v>
      </c>
      <c r="S89" s="74"/>
    </row>
    <row r="90" spans="1:19" s="70" customFormat="1" ht="14" x14ac:dyDescent="0.3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</row>
    <row r="91" spans="1:19" s="70" customFormat="1" ht="14.25" customHeight="1" x14ac:dyDescent="0.3">
      <c r="A91" s="190" t="s">
        <v>35</v>
      </c>
      <c r="B91" s="249" t="s">
        <v>331</v>
      </c>
      <c r="C91" s="249" t="s">
        <v>332</v>
      </c>
      <c r="D91" s="257" t="s">
        <v>337</v>
      </c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9"/>
      <c r="P91" s="263" t="s">
        <v>179</v>
      </c>
      <c r="Q91" s="264"/>
      <c r="R91" s="74"/>
      <c r="S91" s="74"/>
    </row>
    <row r="92" spans="1:19" s="70" customFormat="1" ht="14.25" customHeight="1" x14ac:dyDescent="0.3">
      <c r="A92" s="191"/>
      <c r="B92" s="249"/>
      <c r="C92" s="249"/>
      <c r="D92" s="260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2"/>
      <c r="P92" s="265"/>
      <c r="Q92" s="266"/>
      <c r="R92" s="74"/>
      <c r="S92" s="74"/>
    </row>
    <row r="93" spans="1:19" s="70" customFormat="1" ht="82.5" customHeight="1" x14ac:dyDescent="0.3">
      <c r="A93" s="192"/>
      <c r="B93" s="249"/>
      <c r="C93" s="249"/>
      <c r="D93" s="162" t="s">
        <v>282</v>
      </c>
      <c r="E93" s="162" t="s">
        <v>283</v>
      </c>
      <c r="F93" s="162" t="s">
        <v>284</v>
      </c>
      <c r="G93" s="162" t="s">
        <v>285</v>
      </c>
      <c r="H93" s="163" t="s">
        <v>286</v>
      </c>
      <c r="I93" s="162" t="s">
        <v>287</v>
      </c>
      <c r="J93" s="162" t="s">
        <v>288</v>
      </c>
      <c r="K93" s="162" t="s">
        <v>289</v>
      </c>
      <c r="L93" s="163" t="s">
        <v>290</v>
      </c>
      <c r="M93" s="163" t="s">
        <v>291</v>
      </c>
      <c r="N93" s="163" t="s">
        <v>292</v>
      </c>
      <c r="O93" s="163" t="s">
        <v>293</v>
      </c>
      <c r="P93" s="267"/>
      <c r="Q93" s="268"/>
      <c r="R93" s="74"/>
      <c r="S93" s="74"/>
    </row>
    <row r="94" spans="1:19" s="70" customFormat="1" ht="14" x14ac:dyDescent="0.3">
      <c r="A94" s="150">
        <f>A62</f>
        <v>0</v>
      </c>
      <c r="B94" s="151"/>
      <c r="C94" s="151"/>
      <c r="D94" s="151"/>
      <c r="E94" s="151"/>
      <c r="F94" s="151"/>
      <c r="G94" s="151"/>
      <c r="H94" s="164"/>
      <c r="I94" s="151"/>
      <c r="J94" s="151"/>
      <c r="K94" s="151"/>
      <c r="L94" s="152"/>
      <c r="M94" s="152"/>
      <c r="N94" s="152"/>
      <c r="O94" s="154" t="str">
        <f t="shared" ref="O94:O103" si="11">IF(N94=0,"No input",IF(N94&gt;=G94,"YES","NO"))</f>
        <v>No input</v>
      </c>
      <c r="P94" s="248"/>
      <c r="Q94" s="248"/>
      <c r="R94" s="74"/>
      <c r="S94" s="74"/>
    </row>
    <row r="95" spans="1:19" ht="14" x14ac:dyDescent="0.3">
      <c r="A95" s="150">
        <f t="shared" ref="A95:A103" si="12">A63</f>
        <v>0</v>
      </c>
      <c r="B95" s="151"/>
      <c r="C95" s="151"/>
      <c r="D95" s="151"/>
      <c r="E95" s="151"/>
      <c r="F95" s="151"/>
      <c r="G95" s="151"/>
      <c r="H95" s="164"/>
      <c r="I95" s="151"/>
      <c r="J95" s="151"/>
      <c r="K95" s="151"/>
      <c r="L95" s="152"/>
      <c r="M95" s="152"/>
      <c r="N95" s="152"/>
      <c r="O95" s="154" t="str">
        <f t="shared" si="11"/>
        <v>No input</v>
      </c>
      <c r="P95" s="248"/>
      <c r="Q95" s="248"/>
      <c r="R95" s="59"/>
      <c r="S95" s="59"/>
    </row>
    <row r="96" spans="1:19" ht="14" x14ac:dyDescent="0.3">
      <c r="A96" s="150">
        <f t="shared" si="12"/>
        <v>0</v>
      </c>
      <c r="B96" s="151"/>
      <c r="C96" s="151"/>
      <c r="D96" s="151"/>
      <c r="E96" s="151"/>
      <c r="F96" s="151"/>
      <c r="G96" s="151"/>
      <c r="H96" s="164"/>
      <c r="I96" s="151"/>
      <c r="J96" s="151"/>
      <c r="K96" s="151"/>
      <c r="L96" s="152"/>
      <c r="M96" s="152"/>
      <c r="N96" s="152"/>
      <c r="O96" s="154" t="str">
        <f t="shared" si="11"/>
        <v>No input</v>
      </c>
      <c r="P96" s="248"/>
      <c r="Q96" s="248"/>
      <c r="R96" s="59"/>
      <c r="S96" s="59"/>
    </row>
    <row r="97" spans="1:19" ht="14" x14ac:dyDescent="0.3">
      <c r="A97" s="150">
        <f t="shared" si="12"/>
        <v>0</v>
      </c>
      <c r="B97" s="151"/>
      <c r="C97" s="151"/>
      <c r="D97" s="151"/>
      <c r="E97" s="151"/>
      <c r="F97" s="151"/>
      <c r="G97" s="151"/>
      <c r="H97" s="164"/>
      <c r="I97" s="151"/>
      <c r="J97" s="151"/>
      <c r="K97" s="151"/>
      <c r="L97" s="152"/>
      <c r="M97" s="152"/>
      <c r="N97" s="152"/>
      <c r="O97" s="154" t="str">
        <f t="shared" si="11"/>
        <v>No input</v>
      </c>
      <c r="P97" s="248"/>
      <c r="Q97" s="248"/>
      <c r="R97" s="59"/>
      <c r="S97" s="59"/>
    </row>
    <row r="98" spans="1:19" ht="14" x14ac:dyDescent="0.3">
      <c r="A98" s="150">
        <f t="shared" si="12"/>
        <v>0</v>
      </c>
      <c r="B98" s="151"/>
      <c r="C98" s="151"/>
      <c r="D98" s="151"/>
      <c r="E98" s="151"/>
      <c r="F98" s="151"/>
      <c r="G98" s="151"/>
      <c r="H98" s="164"/>
      <c r="I98" s="151"/>
      <c r="J98" s="151"/>
      <c r="K98" s="151"/>
      <c r="L98" s="152"/>
      <c r="M98" s="152"/>
      <c r="N98" s="152"/>
      <c r="O98" s="154" t="str">
        <f t="shared" si="11"/>
        <v>No input</v>
      </c>
      <c r="P98" s="248"/>
      <c r="Q98" s="248"/>
      <c r="R98" s="59"/>
      <c r="S98" s="59"/>
    </row>
    <row r="99" spans="1:19" ht="14" x14ac:dyDescent="0.3">
      <c r="A99" s="150">
        <f t="shared" si="12"/>
        <v>0</v>
      </c>
      <c r="B99" s="151"/>
      <c r="C99" s="151"/>
      <c r="D99" s="151"/>
      <c r="E99" s="151"/>
      <c r="F99" s="151"/>
      <c r="G99" s="151"/>
      <c r="H99" s="164"/>
      <c r="I99" s="151"/>
      <c r="J99" s="151"/>
      <c r="K99" s="151"/>
      <c r="L99" s="152"/>
      <c r="M99" s="152"/>
      <c r="N99" s="152"/>
      <c r="O99" s="154" t="str">
        <f t="shared" si="11"/>
        <v>No input</v>
      </c>
      <c r="P99" s="248"/>
      <c r="Q99" s="248"/>
      <c r="R99" s="59"/>
      <c r="S99" s="59"/>
    </row>
    <row r="100" spans="1:19" ht="14" x14ac:dyDescent="0.3">
      <c r="A100" s="150">
        <f t="shared" si="12"/>
        <v>0</v>
      </c>
      <c r="B100" s="151"/>
      <c r="C100" s="151"/>
      <c r="D100" s="151"/>
      <c r="E100" s="151"/>
      <c r="F100" s="151"/>
      <c r="G100" s="151"/>
      <c r="H100" s="164"/>
      <c r="I100" s="151"/>
      <c r="J100" s="151"/>
      <c r="K100" s="151"/>
      <c r="L100" s="152"/>
      <c r="M100" s="152"/>
      <c r="N100" s="152"/>
      <c r="O100" s="154" t="str">
        <f t="shared" si="11"/>
        <v>No input</v>
      </c>
      <c r="P100" s="248"/>
      <c r="Q100" s="248"/>
      <c r="R100" s="59"/>
      <c r="S100" s="59"/>
    </row>
    <row r="101" spans="1:19" ht="14" x14ac:dyDescent="0.3">
      <c r="A101" s="150">
        <f t="shared" si="12"/>
        <v>0</v>
      </c>
      <c r="B101" s="151"/>
      <c r="C101" s="151"/>
      <c r="D101" s="151"/>
      <c r="E101" s="151"/>
      <c r="F101" s="151"/>
      <c r="G101" s="151"/>
      <c r="H101" s="164"/>
      <c r="I101" s="151"/>
      <c r="J101" s="151"/>
      <c r="K101" s="151"/>
      <c r="L101" s="152"/>
      <c r="M101" s="152"/>
      <c r="N101" s="152"/>
      <c r="O101" s="154" t="str">
        <f t="shared" si="11"/>
        <v>No input</v>
      </c>
      <c r="P101" s="248"/>
      <c r="Q101" s="248"/>
      <c r="R101" s="59"/>
      <c r="S101" s="59"/>
    </row>
    <row r="102" spans="1:19" ht="14" x14ac:dyDescent="0.3">
      <c r="A102" s="150">
        <f t="shared" si="12"/>
        <v>0</v>
      </c>
      <c r="B102" s="151"/>
      <c r="C102" s="151"/>
      <c r="D102" s="151"/>
      <c r="E102" s="151"/>
      <c r="F102" s="151"/>
      <c r="G102" s="151"/>
      <c r="H102" s="164"/>
      <c r="I102" s="151"/>
      <c r="J102" s="151"/>
      <c r="K102" s="151"/>
      <c r="L102" s="152"/>
      <c r="M102" s="152"/>
      <c r="N102" s="152"/>
      <c r="O102" s="154" t="str">
        <f t="shared" si="11"/>
        <v>No input</v>
      </c>
      <c r="P102" s="248"/>
      <c r="Q102" s="248"/>
      <c r="R102" s="59"/>
      <c r="S102" s="59"/>
    </row>
    <row r="103" spans="1:19" ht="14" x14ac:dyDescent="0.3">
      <c r="A103" s="150">
        <f t="shared" si="12"/>
        <v>0</v>
      </c>
      <c r="B103" s="151"/>
      <c r="C103" s="151"/>
      <c r="D103" s="151"/>
      <c r="E103" s="151"/>
      <c r="F103" s="151"/>
      <c r="G103" s="151"/>
      <c r="H103" s="164"/>
      <c r="I103" s="151"/>
      <c r="J103" s="151"/>
      <c r="K103" s="151"/>
      <c r="L103" s="152"/>
      <c r="M103" s="152"/>
      <c r="N103" s="152"/>
      <c r="O103" s="154" t="str">
        <f t="shared" si="11"/>
        <v>No input</v>
      </c>
      <c r="P103" s="248"/>
      <c r="Q103" s="248"/>
      <c r="R103" s="59"/>
      <c r="S103" s="59"/>
    </row>
    <row r="104" spans="1:19" ht="16" x14ac:dyDescent="0.4">
      <c r="A104" s="74"/>
      <c r="D104" s="59"/>
      <c r="E104" s="107"/>
      <c r="F104" s="59"/>
      <c r="G104" s="74"/>
      <c r="H104" s="158" t="s">
        <v>294</v>
      </c>
      <c r="I104" s="165"/>
      <c r="J104" s="59" t="s">
        <v>1</v>
      </c>
      <c r="K104" s="157"/>
      <c r="L104" s="156"/>
      <c r="M104" s="157"/>
      <c r="N104" s="156"/>
      <c r="O104" s="156"/>
      <c r="P104" s="156"/>
      <c r="Q104" s="156"/>
      <c r="R104" s="156"/>
      <c r="S104" s="59"/>
    </row>
    <row r="105" spans="1:19" x14ac:dyDescent="0.25">
      <c r="A105" s="59"/>
      <c r="B105" s="117"/>
      <c r="C105" s="117"/>
      <c r="D105" s="117"/>
      <c r="E105" s="118"/>
      <c r="F105" s="117"/>
      <c r="G105" s="117"/>
      <c r="H105" s="117"/>
      <c r="I105" s="118"/>
      <c r="J105" s="117"/>
      <c r="K105" s="118"/>
      <c r="L105" s="117"/>
      <c r="M105" s="117"/>
      <c r="N105" s="117"/>
      <c r="O105" s="117"/>
      <c r="P105" s="117"/>
      <c r="Q105" s="117"/>
      <c r="R105" s="59"/>
      <c r="S105" s="59"/>
    </row>
    <row r="106" spans="1:19" ht="12.75" customHeight="1" x14ac:dyDescent="0.3">
      <c r="A106" s="210" t="s">
        <v>35</v>
      </c>
      <c r="B106" s="242" t="s">
        <v>338</v>
      </c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4"/>
      <c r="R106" s="238" t="s">
        <v>179</v>
      </c>
      <c r="S106" s="59"/>
    </row>
    <row r="107" spans="1:19" ht="15" customHeight="1" x14ac:dyDescent="0.3">
      <c r="A107" s="211"/>
      <c r="B107" s="188" t="s">
        <v>77</v>
      </c>
      <c r="C107" s="245" t="s">
        <v>203</v>
      </c>
      <c r="D107" s="246"/>
      <c r="E107" s="246"/>
      <c r="F107" s="246"/>
      <c r="G107" s="247"/>
      <c r="H107" s="188" t="s">
        <v>83</v>
      </c>
      <c r="I107" s="188" t="s">
        <v>156</v>
      </c>
      <c r="J107" s="242" t="s">
        <v>10</v>
      </c>
      <c r="K107" s="243"/>
      <c r="L107" s="243"/>
      <c r="M107" s="244"/>
      <c r="N107" s="242" t="s">
        <v>11</v>
      </c>
      <c r="O107" s="243"/>
      <c r="P107" s="243"/>
      <c r="Q107" s="244"/>
      <c r="R107" s="238"/>
      <c r="S107" s="59"/>
    </row>
    <row r="108" spans="1:19" ht="64" x14ac:dyDescent="0.4">
      <c r="A108" s="212"/>
      <c r="B108" s="189"/>
      <c r="C108" s="124" t="s">
        <v>127</v>
      </c>
      <c r="D108" s="125" t="s">
        <v>78</v>
      </c>
      <c r="E108" s="125" t="s">
        <v>79</v>
      </c>
      <c r="F108" s="125" t="s">
        <v>80</v>
      </c>
      <c r="G108" s="125" t="s">
        <v>105</v>
      </c>
      <c r="H108" s="189"/>
      <c r="I108" s="189"/>
      <c r="J108" s="120" t="s">
        <v>159</v>
      </c>
      <c r="K108" s="120" t="s">
        <v>141</v>
      </c>
      <c r="L108" s="120" t="s">
        <v>204</v>
      </c>
      <c r="M108" s="120" t="s">
        <v>205</v>
      </c>
      <c r="N108" s="120" t="s">
        <v>206</v>
      </c>
      <c r="O108" s="120" t="s">
        <v>207</v>
      </c>
      <c r="P108" s="120" t="s">
        <v>208</v>
      </c>
      <c r="Q108" s="125" t="s">
        <v>209</v>
      </c>
      <c r="R108" s="238"/>
      <c r="S108" s="59"/>
    </row>
    <row r="109" spans="1:19" x14ac:dyDescent="0.25">
      <c r="A109" s="130">
        <f t="shared" ref="A109:A118" si="13">A32</f>
        <v>0</v>
      </c>
      <c r="B109" s="126"/>
      <c r="C109" s="127" t="s">
        <v>148</v>
      </c>
      <c r="D109" s="126"/>
      <c r="E109" s="126"/>
      <c r="F109" s="126"/>
      <c r="G109" s="126"/>
      <c r="H109" s="126"/>
      <c r="I109" s="126"/>
      <c r="J109" s="126"/>
      <c r="K109" s="126"/>
      <c r="L109" s="126"/>
      <c r="M109" s="128" t="str">
        <f t="shared" ref="M109:M118" si="14">IF(L109=0,"No input",IF(L109&gt;=J32,"YES","NO"))</f>
        <v>No input</v>
      </c>
      <c r="N109" s="126"/>
      <c r="O109" s="126"/>
      <c r="P109" s="126"/>
      <c r="Q109" s="128" t="str">
        <f>IF(P109=0,"No input",IF(P109&gt;=J32,"YES","NO"))</f>
        <v>No input</v>
      </c>
      <c r="R109" s="145"/>
      <c r="S109" s="59"/>
    </row>
    <row r="110" spans="1:19" x14ac:dyDescent="0.25">
      <c r="A110" s="130">
        <f t="shared" si="13"/>
        <v>0</v>
      </c>
      <c r="B110" s="126"/>
      <c r="C110" s="127" t="s">
        <v>148</v>
      </c>
      <c r="D110" s="126"/>
      <c r="E110" s="126"/>
      <c r="F110" s="126"/>
      <c r="G110" s="126"/>
      <c r="H110" s="126"/>
      <c r="I110" s="126"/>
      <c r="J110" s="126"/>
      <c r="K110" s="126"/>
      <c r="L110" s="126"/>
      <c r="M110" s="128" t="str">
        <f t="shared" si="14"/>
        <v>No input</v>
      </c>
      <c r="N110" s="126"/>
      <c r="O110" s="126"/>
      <c r="P110" s="126"/>
      <c r="Q110" s="128" t="str">
        <f t="shared" ref="Q110:Q118" si="15">IF(P110=0,"No input",IF(P110&gt;=J33,"YES","NO"))</f>
        <v>No input</v>
      </c>
      <c r="R110" s="145"/>
      <c r="S110" s="59"/>
    </row>
    <row r="111" spans="1:19" x14ac:dyDescent="0.25">
      <c r="A111" s="130">
        <f t="shared" si="13"/>
        <v>0</v>
      </c>
      <c r="B111" s="126"/>
      <c r="C111" s="127" t="s">
        <v>148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28" t="str">
        <f t="shared" si="14"/>
        <v>No input</v>
      </c>
      <c r="N111" s="126"/>
      <c r="O111" s="126"/>
      <c r="P111" s="126"/>
      <c r="Q111" s="128" t="str">
        <f t="shared" si="15"/>
        <v>No input</v>
      </c>
      <c r="R111" s="145"/>
      <c r="S111" s="59"/>
    </row>
    <row r="112" spans="1:19" x14ac:dyDescent="0.25">
      <c r="A112" s="130">
        <f t="shared" si="13"/>
        <v>0</v>
      </c>
      <c r="B112" s="126"/>
      <c r="C112" s="127" t="s">
        <v>148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8" t="str">
        <f t="shared" si="14"/>
        <v>No input</v>
      </c>
      <c r="N112" s="126"/>
      <c r="O112" s="126"/>
      <c r="P112" s="126"/>
      <c r="Q112" s="128" t="str">
        <f t="shared" si="15"/>
        <v>No input</v>
      </c>
      <c r="R112" s="145"/>
      <c r="S112" s="59"/>
    </row>
    <row r="113" spans="1:19" x14ac:dyDescent="0.25">
      <c r="A113" s="130">
        <f t="shared" si="13"/>
        <v>0</v>
      </c>
      <c r="B113" s="126"/>
      <c r="C113" s="127" t="s">
        <v>148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8" t="str">
        <f t="shared" si="14"/>
        <v>No input</v>
      </c>
      <c r="N113" s="126"/>
      <c r="O113" s="126"/>
      <c r="P113" s="126"/>
      <c r="Q113" s="128" t="str">
        <f t="shared" si="15"/>
        <v>No input</v>
      </c>
      <c r="R113" s="145"/>
      <c r="S113" s="59"/>
    </row>
    <row r="114" spans="1:19" x14ac:dyDescent="0.25">
      <c r="A114" s="130">
        <f t="shared" si="13"/>
        <v>0</v>
      </c>
      <c r="B114" s="126"/>
      <c r="C114" s="127" t="s">
        <v>148</v>
      </c>
      <c r="D114" s="126"/>
      <c r="E114" s="126"/>
      <c r="F114" s="126"/>
      <c r="G114" s="126"/>
      <c r="H114" s="126"/>
      <c r="I114" s="126"/>
      <c r="J114" s="126"/>
      <c r="K114" s="126"/>
      <c r="L114" s="126"/>
      <c r="M114" s="128" t="str">
        <f t="shared" si="14"/>
        <v>No input</v>
      </c>
      <c r="N114" s="126"/>
      <c r="O114" s="126"/>
      <c r="P114" s="126"/>
      <c r="Q114" s="128" t="str">
        <f t="shared" si="15"/>
        <v>No input</v>
      </c>
      <c r="R114" s="145"/>
      <c r="S114" s="59"/>
    </row>
    <row r="115" spans="1:19" x14ac:dyDescent="0.25">
      <c r="A115" s="130">
        <f t="shared" si="13"/>
        <v>0</v>
      </c>
      <c r="B115" s="126"/>
      <c r="C115" s="127" t="s">
        <v>148</v>
      </c>
      <c r="D115" s="126"/>
      <c r="E115" s="126"/>
      <c r="F115" s="126"/>
      <c r="G115" s="126"/>
      <c r="H115" s="126"/>
      <c r="I115" s="126"/>
      <c r="J115" s="126"/>
      <c r="K115" s="126"/>
      <c r="L115" s="126"/>
      <c r="M115" s="128" t="str">
        <f t="shared" si="14"/>
        <v>No input</v>
      </c>
      <c r="N115" s="126"/>
      <c r="O115" s="126"/>
      <c r="P115" s="126"/>
      <c r="Q115" s="128" t="str">
        <f t="shared" si="15"/>
        <v>No input</v>
      </c>
      <c r="R115" s="145"/>
      <c r="S115" s="59"/>
    </row>
    <row r="116" spans="1:19" x14ac:dyDescent="0.25">
      <c r="A116" s="130">
        <f t="shared" si="13"/>
        <v>0</v>
      </c>
      <c r="B116" s="126"/>
      <c r="C116" s="127" t="s">
        <v>148</v>
      </c>
      <c r="D116" s="126"/>
      <c r="E116" s="126"/>
      <c r="F116" s="126"/>
      <c r="G116" s="126"/>
      <c r="H116" s="126"/>
      <c r="I116" s="126"/>
      <c r="J116" s="126"/>
      <c r="K116" s="126"/>
      <c r="L116" s="126"/>
      <c r="M116" s="128" t="str">
        <f t="shared" si="14"/>
        <v>No input</v>
      </c>
      <c r="N116" s="126"/>
      <c r="O116" s="126"/>
      <c r="P116" s="126"/>
      <c r="Q116" s="128" t="str">
        <f t="shared" si="15"/>
        <v>No input</v>
      </c>
      <c r="R116" s="145"/>
      <c r="S116" s="59"/>
    </row>
    <row r="117" spans="1:19" ht="14.25" customHeight="1" x14ac:dyDescent="0.25">
      <c r="A117" s="130">
        <f t="shared" si="13"/>
        <v>0</v>
      </c>
      <c r="B117" s="126"/>
      <c r="C117" s="127" t="s">
        <v>148</v>
      </c>
      <c r="D117" s="126"/>
      <c r="E117" s="126"/>
      <c r="F117" s="126"/>
      <c r="G117" s="126"/>
      <c r="H117" s="126"/>
      <c r="I117" s="126"/>
      <c r="J117" s="126"/>
      <c r="K117" s="126"/>
      <c r="L117" s="126"/>
      <c r="M117" s="128" t="str">
        <f t="shared" si="14"/>
        <v>No input</v>
      </c>
      <c r="N117" s="126"/>
      <c r="O117" s="126"/>
      <c r="P117" s="126"/>
      <c r="Q117" s="128" t="str">
        <f t="shared" si="15"/>
        <v>No input</v>
      </c>
      <c r="R117" s="146"/>
      <c r="S117" s="59"/>
    </row>
    <row r="118" spans="1:19" ht="13" x14ac:dyDescent="0.25">
      <c r="A118" s="130">
        <f t="shared" si="13"/>
        <v>0</v>
      </c>
      <c r="B118" s="126"/>
      <c r="C118" s="127" t="s">
        <v>148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8" t="str">
        <f t="shared" si="14"/>
        <v>No input</v>
      </c>
      <c r="N118" s="126"/>
      <c r="O118" s="126"/>
      <c r="P118" s="126"/>
      <c r="Q118" s="128" t="str">
        <f t="shared" si="15"/>
        <v>No input</v>
      </c>
      <c r="R118" s="146"/>
      <c r="S118" s="59"/>
    </row>
    <row r="119" spans="1:19" ht="16" x14ac:dyDescent="0.4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1" t="s">
        <v>188</v>
      </c>
      <c r="N119" s="129"/>
      <c r="O119" s="129"/>
      <c r="P119" s="129"/>
      <c r="Q119" s="129"/>
      <c r="R119" s="129"/>
      <c r="S119" s="59"/>
    </row>
    <row r="120" spans="1:19" x14ac:dyDescent="0.25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59"/>
    </row>
    <row r="121" spans="1:19" ht="13" x14ac:dyDescent="0.3">
      <c r="A121" s="131" t="s">
        <v>339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59"/>
    </row>
    <row r="122" spans="1:19" ht="13" x14ac:dyDescent="0.3">
      <c r="A122" s="131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59"/>
    </row>
    <row r="123" spans="1:19" ht="13" x14ac:dyDescent="0.3">
      <c r="A123" s="132" t="s">
        <v>182</v>
      </c>
      <c r="B123" s="132"/>
      <c r="C123" s="235" t="s">
        <v>148</v>
      </c>
      <c r="D123" s="235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59"/>
    </row>
    <row r="124" spans="1:19" ht="12.75" customHeight="1" x14ac:dyDescent="0.25">
      <c r="A124" s="210" t="s">
        <v>35</v>
      </c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10" t="s">
        <v>210</v>
      </c>
      <c r="P124" s="193" t="s">
        <v>211</v>
      </c>
      <c r="Q124" s="236" t="s">
        <v>179</v>
      </c>
      <c r="R124" s="236"/>
      <c r="S124" s="59"/>
    </row>
    <row r="125" spans="1:19" x14ac:dyDescent="0.25">
      <c r="A125" s="211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11"/>
      <c r="P125" s="193"/>
      <c r="Q125" s="236"/>
      <c r="R125" s="236"/>
      <c r="S125" s="59"/>
    </row>
    <row r="126" spans="1:19" ht="17.25" customHeight="1" x14ac:dyDescent="0.25">
      <c r="A126" s="21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12"/>
      <c r="P126" s="193"/>
      <c r="Q126" s="236"/>
      <c r="R126" s="236"/>
      <c r="S126" s="59"/>
    </row>
    <row r="127" spans="1:19" x14ac:dyDescent="0.25">
      <c r="A127" s="130">
        <f t="shared" ref="A127:A136" si="16">A32</f>
        <v>0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26"/>
      <c r="P127" s="128" t="str">
        <f t="shared" ref="P127:P136" si="17">IF(O127=0,"No input",IF(O127&gt;=J32,"YES","NO"))</f>
        <v>No input</v>
      </c>
      <c r="Q127" s="241"/>
      <c r="R127" s="241"/>
      <c r="S127" s="59"/>
    </row>
    <row r="128" spans="1:19" x14ac:dyDescent="0.25">
      <c r="A128" s="130">
        <f t="shared" si="16"/>
        <v>0</v>
      </c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26"/>
      <c r="P128" s="128" t="str">
        <f t="shared" si="17"/>
        <v>No input</v>
      </c>
      <c r="Q128" s="241"/>
      <c r="R128" s="241"/>
      <c r="S128" s="59"/>
    </row>
    <row r="129" spans="1:19" x14ac:dyDescent="0.25">
      <c r="A129" s="130">
        <f t="shared" si="16"/>
        <v>0</v>
      </c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26"/>
      <c r="P129" s="128" t="str">
        <f t="shared" si="17"/>
        <v>No input</v>
      </c>
      <c r="Q129" s="241"/>
      <c r="R129" s="241"/>
      <c r="S129" s="59"/>
    </row>
    <row r="130" spans="1:19" x14ac:dyDescent="0.25">
      <c r="A130" s="130">
        <f t="shared" si="16"/>
        <v>0</v>
      </c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26"/>
      <c r="P130" s="128" t="str">
        <f t="shared" si="17"/>
        <v>No input</v>
      </c>
      <c r="Q130" s="241"/>
      <c r="R130" s="241"/>
      <c r="S130" s="59"/>
    </row>
    <row r="131" spans="1:19" x14ac:dyDescent="0.25">
      <c r="A131" s="130">
        <f t="shared" si="16"/>
        <v>0</v>
      </c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26"/>
      <c r="P131" s="128" t="str">
        <f t="shared" si="17"/>
        <v>No input</v>
      </c>
      <c r="Q131" s="241"/>
      <c r="R131" s="241"/>
      <c r="S131" s="59"/>
    </row>
    <row r="132" spans="1:19" x14ac:dyDescent="0.25">
      <c r="A132" s="130">
        <f t="shared" si="16"/>
        <v>0</v>
      </c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26"/>
      <c r="P132" s="128" t="str">
        <f t="shared" si="17"/>
        <v>No input</v>
      </c>
      <c r="Q132" s="241"/>
      <c r="R132" s="241"/>
      <c r="S132" s="59"/>
    </row>
    <row r="133" spans="1:19" x14ac:dyDescent="0.25">
      <c r="A133" s="130">
        <f t="shared" si="16"/>
        <v>0</v>
      </c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26"/>
      <c r="P133" s="128" t="str">
        <f t="shared" si="17"/>
        <v>No input</v>
      </c>
      <c r="Q133" s="241"/>
      <c r="R133" s="241"/>
      <c r="S133" s="59"/>
    </row>
    <row r="134" spans="1:19" x14ac:dyDescent="0.25">
      <c r="A134" s="130">
        <f t="shared" si="16"/>
        <v>0</v>
      </c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26"/>
      <c r="P134" s="128" t="str">
        <f t="shared" si="17"/>
        <v>No input</v>
      </c>
      <c r="Q134" s="241"/>
      <c r="R134" s="241"/>
      <c r="S134" s="59"/>
    </row>
    <row r="135" spans="1:19" x14ac:dyDescent="0.25">
      <c r="A135" s="130">
        <f t="shared" si="16"/>
        <v>0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26"/>
      <c r="P135" s="128" t="str">
        <f t="shared" si="17"/>
        <v>No input</v>
      </c>
      <c r="Q135" s="241"/>
      <c r="R135" s="241"/>
      <c r="S135" s="59"/>
    </row>
    <row r="136" spans="1:19" x14ac:dyDescent="0.25">
      <c r="A136" s="130">
        <f t="shared" si="16"/>
        <v>0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26"/>
      <c r="P136" s="128" t="str">
        <f t="shared" si="17"/>
        <v>No input</v>
      </c>
      <c r="Q136" s="241"/>
      <c r="R136" s="241"/>
      <c r="S136" s="59"/>
    </row>
    <row r="137" spans="1:19" ht="16" x14ac:dyDescent="0.4">
      <c r="A137" s="129" t="s">
        <v>183</v>
      </c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1" t="s">
        <v>188</v>
      </c>
      <c r="Q137" s="129"/>
      <c r="R137" s="129"/>
      <c r="S137" s="59"/>
    </row>
    <row r="138" spans="1:19" x14ac:dyDescent="0.2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</row>
  </sheetData>
  <sheetProtection algorithmName="SHA-512" hashValue="OmKsWrXQwk22c5+qkIZV9hVTeZrHUSLRiUnmyznw/4r2OAoMFEEecZd2rnivPAPVYvCl2+mu6OTGN3X8j2Y5gQ==" saltValue="v33fN4laImwyDDBLUSlEig==" spinCount="100000" sheet="1" objects="1" scenarios="1"/>
  <mergeCells count="132">
    <mergeCell ref="A75:A77"/>
    <mergeCell ref="B75:F76"/>
    <mergeCell ref="G75:R75"/>
    <mergeCell ref="S75:S77"/>
    <mergeCell ref="G76:K76"/>
    <mergeCell ref="L76:R76"/>
    <mergeCell ref="A91:A93"/>
    <mergeCell ref="D91:O92"/>
    <mergeCell ref="P91:Q93"/>
    <mergeCell ref="P96:Q96"/>
    <mergeCell ref="P97:Q97"/>
    <mergeCell ref="P98:Q98"/>
    <mergeCell ref="P99:Q99"/>
    <mergeCell ref="P100:Q100"/>
    <mergeCell ref="P101:Q101"/>
    <mergeCell ref="P102:Q102"/>
    <mergeCell ref="P103:Q103"/>
    <mergeCell ref="B91:B93"/>
    <mergeCell ref="C91:C93"/>
    <mergeCell ref="P95:Q95"/>
    <mergeCell ref="P94:Q94"/>
    <mergeCell ref="N69:O69"/>
    <mergeCell ref="N70:O70"/>
    <mergeCell ref="N59:O61"/>
    <mergeCell ref="N62:O62"/>
    <mergeCell ref="N63:O63"/>
    <mergeCell ref="Q7:R7"/>
    <mergeCell ref="Q8:R8"/>
    <mergeCell ref="Q136:R136"/>
    <mergeCell ref="B106:Q106"/>
    <mergeCell ref="C107:G107"/>
    <mergeCell ref="J107:M107"/>
    <mergeCell ref="N107:Q107"/>
    <mergeCell ref="R106:R108"/>
    <mergeCell ref="Q131:R131"/>
    <mergeCell ref="Q132:R132"/>
    <mergeCell ref="Q133:R133"/>
    <mergeCell ref="Q134:R134"/>
    <mergeCell ref="Q135:R135"/>
    <mergeCell ref="Q124:R126"/>
    <mergeCell ref="Q127:R127"/>
    <mergeCell ref="Q128:R128"/>
    <mergeCell ref="Q129:R129"/>
    <mergeCell ref="Q130:R130"/>
    <mergeCell ref="B124:B126"/>
    <mergeCell ref="C124:C126"/>
    <mergeCell ref="D124:D126"/>
    <mergeCell ref="E124:E126"/>
    <mergeCell ref="C123:D123"/>
    <mergeCell ref="N124:N126"/>
    <mergeCell ref="O124:O126"/>
    <mergeCell ref="Q38:R38"/>
    <mergeCell ref="Q39:R39"/>
    <mergeCell ref="Q40:R40"/>
    <mergeCell ref="Q41:R41"/>
    <mergeCell ref="N71:O71"/>
    <mergeCell ref="O44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B44:N45"/>
    <mergeCell ref="B60:F60"/>
    <mergeCell ref="A1:P1"/>
    <mergeCell ref="B9:K13"/>
    <mergeCell ref="M8:O14"/>
    <mergeCell ref="A29:A31"/>
    <mergeCell ref="B15:G15"/>
    <mergeCell ref="D3:J3"/>
    <mergeCell ref="D4:J4"/>
    <mergeCell ref="D5:J5"/>
    <mergeCell ref="N3:O3"/>
    <mergeCell ref="N4:P4"/>
    <mergeCell ref="N5:P5"/>
    <mergeCell ref="B3:C3"/>
    <mergeCell ref="B4:C4"/>
    <mergeCell ref="B6:C6"/>
    <mergeCell ref="K5:M5"/>
    <mergeCell ref="K4:M4"/>
    <mergeCell ref="K3:M3"/>
    <mergeCell ref="B107:B108"/>
    <mergeCell ref="A44:A46"/>
    <mergeCell ref="P124:P126"/>
    <mergeCell ref="B17:G17"/>
    <mergeCell ref="B16:G16"/>
    <mergeCell ref="B29:G30"/>
    <mergeCell ref="K124:K126"/>
    <mergeCell ref="L124:L126"/>
    <mergeCell ref="M124:M126"/>
    <mergeCell ref="H107:H108"/>
    <mergeCell ref="I107:I108"/>
    <mergeCell ref="F124:F126"/>
    <mergeCell ref="G124:G126"/>
    <mergeCell ref="H29:L30"/>
    <mergeCell ref="H124:H126"/>
    <mergeCell ref="I124:I126"/>
    <mergeCell ref="J124:J126"/>
    <mergeCell ref="A124:A126"/>
    <mergeCell ref="N64:O64"/>
    <mergeCell ref="N65:O65"/>
    <mergeCell ref="M27:N27"/>
    <mergeCell ref="M29:P30"/>
    <mergeCell ref="A59:A61"/>
    <mergeCell ref="A106:A108"/>
    <mergeCell ref="G60:M60"/>
    <mergeCell ref="B59:M59"/>
    <mergeCell ref="N66:O66"/>
    <mergeCell ref="N67:O67"/>
    <mergeCell ref="N68:O68"/>
    <mergeCell ref="Q29:R31"/>
    <mergeCell ref="Q32:R32"/>
    <mergeCell ref="M7:O7"/>
    <mergeCell ref="N15:O15"/>
    <mergeCell ref="N16:O16"/>
    <mergeCell ref="B8:E8"/>
    <mergeCell ref="C26:R26"/>
    <mergeCell ref="B19:K19"/>
    <mergeCell ref="B18:K18"/>
    <mergeCell ref="C24:R24"/>
    <mergeCell ref="C25:R25"/>
    <mergeCell ref="C27:L27"/>
    <mergeCell ref="Q33:R33"/>
    <mergeCell ref="Q34:R34"/>
    <mergeCell ref="Q35:R35"/>
    <mergeCell ref="Q36:R36"/>
    <mergeCell ref="Q37:R37"/>
  </mergeCells>
  <phoneticPr fontId="22" type="noConversion"/>
  <conditionalFormatting sqref="F62:F71">
    <cfRule type="cellIs" dxfId="89" priority="125" operator="equal">
      <formula>"NO"</formula>
    </cfRule>
  </conditionalFormatting>
  <conditionalFormatting sqref="G47:G56 I72:I74 E105 I105">
    <cfRule type="cellIs" dxfId="88" priority="128" operator="equal">
      <formula>"NO"</formula>
    </cfRule>
  </conditionalFormatting>
  <conditionalFormatting sqref="G78:G89">
    <cfRule type="cellIs" dxfId="87" priority="11" operator="equal">
      <formula>"NO"</formula>
    </cfRule>
  </conditionalFormatting>
  <conditionalFormatting sqref="H94:H103">
    <cfRule type="cellIs" dxfId="86" priority="9" operator="equal">
      <formula>"NO"</formula>
    </cfRule>
  </conditionalFormatting>
  <conditionalFormatting sqref="K62:K74">
    <cfRule type="cellIs" dxfId="85" priority="121" operator="equal">
      <formula>"NO"</formula>
    </cfRule>
  </conditionalFormatting>
  <conditionalFormatting sqref="K78:L87">
    <cfRule type="cellIs" dxfId="84" priority="10" operator="equal">
      <formula>"NO"</formula>
    </cfRule>
  </conditionalFormatting>
  <conditionalFormatting sqref="L94:L103">
    <cfRule type="cellIs" dxfId="83" priority="8" operator="equal">
      <formula>"NO"</formula>
    </cfRule>
  </conditionalFormatting>
  <conditionalFormatting sqref="M62:M71">
    <cfRule type="cellIs" dxfId="82" priority="120" operator="equal">
      <formula>"NO"</formula>
    </cfRule>
  </conditionalFormatting>
  <conditionalFormatting sqref="M88:M89 K104:K105">
    <cfRule type="cellIs" dxfId="81" priority="41" operator="equal">
      <formula>"NO"</formula>
    </cfRule>
  </conditionalFormatting>
  <conditionalFormatting sqref="M94:M104">
    <cfRule type="cellIs" dxfId="80" priority="7" operator="equal">
      <formula>"NO"</formula>
    </cfRule>
  </conditionalFormatting>
  <conditionalFormatting sqref="M109:M118">
    <cfRule type="cellIs" dxfId="79" priority="118" operator="equal">
      <formula>"NO"</formula>
    </cfRule>
  </conditionalFormatting>
  <conditionalFormatting sqref="N47:N56">
    <cfRule type="cellIs" dxfId="78" priority="126" operator="equal">
      <formula>"NO"</formula>
    </cfRule>
  </conditionalFormatting>
  <conditionalFormatting sqref="N94:O103">
    <cfRule type="cellIs" dxfId="77" priority="1" operator="equal">
      <formula>"NO"</formula>
    </cfRule>
  </conditionalFormatting>
  <conditionalFormatting sqref="P127:P136">
    <cfRule type="cellIs" dxfId="76" priority="114" operator="equal">
      <formula>"NO"</formula>
    </cfRule>
  </conditionalFormatting>
  <conditionalFormatting sqref="Q109:Q118">
    <cfRule type="cellIs" dxfId="75" priority="116" operator="equal">
      <formula>"NO"</formula>
    </cfRule>
  </conditionalFormatting>
  <conditionalFormatting sqref="R78:R87">
    <cfRule type="cellIs" dxfId="74" priority="18" operator="equal">
      <formula>"NO"</formula>
    </cfRule>
  </conditionalFormatting>
  <hyperlinks>
    <hyperlink ref="M27:N27" r:id="rId1" display="Link to Download" xr:uid="{462FE35A-248B-48F3-893D-256D7B0C603D}"/>
  </hyperlinks>
  <pageMargins left="0.70866141732283472" right="0.70866141732283472" top="0.74803149606299213" bottom="0.74803149606299213" header="0.31496062992125984" footer="0.31496062992125984"/>
  <pageSetup paperSize="9" scale="41" fitToWidth="0" fitToHeight="0" orientation="portrait" r:id="rId2"/>
  <rowBreaks count="1" manualBreakCount="1">
    <brk id="74" max="1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3B26B524-C299-46E0-B3E2-E3F3143C6D8A}">
          <x14:formula1>
            <xm:f>'For inputlist'!$A$2:$A$5</xm:f>
          </x14:formula1>
          <xm:sqref>C109:C118</xm:sqref>
        </x14:dataValidation>
        <x14:dataValidation type="list" allowBlank="1" showInputMessage="1" showErrorMessage="1" xr:uid="{84494CD9-A17B-42C0-B9F2-35726AC1817C}">
          <x14:formula1>
            <xm:f>'For inputlist'!$B$2:$B$4</xm:f>
          </x14:formula1>
          <xm:sqref>L18:L19</xm:sqref>
        </x14:dataValidation>
        <x14:dataValidation type="list" allowBlank="1" showInputMessage="1" showErrorMessage="1" xr:uid="{B51EA303-57E1-413E-B579-13459C322157}">
          <x14:formula1>
            <xm:f>'For inputlist'!$C$2:$C$5</xm:f>
          </x14:formula1>
          <xm:sqref>C123:D123</xm:sqref>
        </x14:dataValidation>
        <x14:dataValidation type="list" allowBlank="1" showInputMessage="1" showErrorMessage="1" xr:uid="{034A75D1-C1B0-441F-9415-B4BED78E2B4C}">
          <x14:formula1>
            <xm:f>'For inputlist'!$A$3:$A$5</xm:f>
          </x14:formula1>
          <xm:sqref>M72:M74 M105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1497-CAD4-435A-835E-A24758206C5E}">
  <dimension ref="A1:T84"/>
  <sheetViews>
    <sheetView topLeftCell="A10" zoomScaleNormal="100" workbookViewId="0">
      <selection activeCell="D88" sqref="D88:O89"/>
    </sheetView>
  </sheetViews>
  <sheetFormatPr defaultColWidth="9.1796875" defaultRowHeight="15.5" x14ac:dyDescent="0.35"/>
  <cols>
    <col min="1" max="2" width="9.1796875" style="1"/>
    <col min="3" max="3" width="12.1796875" style="1" bestFit="1" customWidth="1"/>
    <col min="4" max="4" width="9" style="1" bestFit="1" customWidth="1"/>
    <col min="5" max="5" width="13.81640625" style="1" bestFit="1" customWidth="1"/>
    <col min="6" max="6" width="9" style="1" bestFit="1" customWidth="1"/>
    <col min="7" max="8" width="9.1796875" style="1"/>
    <col min="9" max="9" width="10.54296875" style="1" bestFit="1" customWidth="1"/>
    <col min="10" max="16" width="9.1796875" style="1"/>
    <col min="17" max="17" width="10.81640625" style="1" bestFit="1" customWidth="1"/>
    <col min="18" max="18" width="9.1796875" style="1"/>
    <col min="19" max="19" width="10.7265625" style="1" bestFit="1" customWidth="1"/>
    <col min="20" max="25" width="9.1796875" style="1"/>
    <col min="26" max="26" width="9.1796875" style="1" customWidth="1"/>
    <col min="27" max="30" width="9.1796875" style="1"/>
    <col min="31" max="31" width="9" style="1" customWidth="1"/>
    <col min="32" max="54" width="9.1796875" style="1"/>
    <col min="55" max="55" width="19.453125" style="1" bestFit="1" customWidth="1"/>
    <col min="56" max="16384" width="9.1796875" style="1"/>
  </cols>
  <sheetData>
    <row r="1" spans="1:19" x14ac:dyDescent="0.35">
      <c r="A1" s="82"/>
      <c r="B1" s="269" t="s">
        <v>41</v>
      </c>
      <c r="C1" s="269"/>
      <c r="D1" s="269"/>
      <c r="E1" s="269"/>
      <c r="F1" s="269"/>
      <c r="G1" s="269"/>
      <c r="H1" s="269"/>
      <c r="I1" s="269" t="s">
        <v>50</v>
      </c>
      <c r="J1" s="269"/>
      <c r="K1" s="269"/>
      <c r="L1" s="269"/>
      <c r="M1" s="269"/>
      <c r="N1" s="269"/>
      <c r="O1" s="83"/>
      <c r="P1" s="84"/>
    </row>
    <row r="2" spans="1:19" s="31" customFormat="1" ht="81.5" x14ac:dyDescent="0.35">
      <c r="A2" s="33" t="s">
        <v>35</v>
      </c>
      <c r="B2" s="35" t="s">
        <v>36</v>
      </c>
      <c r="C2" s="35" t="s">
        <v>38</v>
      </c>
      <c r="D2" s="35" t="s">
        <v>37</v>
      </c>
      <c r="E2" s="35" t="s">
        <v>39</v>
      </c>
      <c r="F2" s="35" t="s">
        <v>43</v>
      </c>
      <c r="G2" s="35" t="s">
        <v>44</v>
      </c>
      <c r="H2" s="35" t="s">
        <v>40</v>
      </c>
      <c r="I2" s="34" t="s">
        <v>45</v>
      </c>
      <c r="J2" s="35" t="s">
        <v>42</v>
      </c>
      <c r="K2" s="35" t="s">
        <v>46</v>
      </c>
      <c r="L2" s="34" t="s">
        <v>48</v>
      </c>
      <c r="M2" s="35" t="s">
        <v>47</v>
      </c>
      <c r="N2" s="34" t="s">
        <v>49</v>
      </c>
    </row>
    <row r="3" spans="1:19" x14ac:dyDescent="0.35">
      <c r="A3" s="32">
        <f>BS_inputs!A32</f>
        <v>0</v>
      </c>
      <c r="B3" s="30">
        <f>BS_inputs!B32</f>
        <v>0</v>
      </c>
      <c r="C3" s="30">
        <f>BS_inputs!C32</f>
        <v>0</v>
      </c>
      <c r="D3" s="30">
        <f>BS_inputs!D32</f>
        <v>0</v>
      </c>
      <c r="E3" s="30">
        <f>BS_inputs!E32</f>
        <v>0</v>
      </c>
      <c r="F3" s="32">
        <f>SUM(D3,B3)</f>
        <v>0</v>
      </c>
      <c r="G3" s="32">
        <f>F3/10000</f>
        <v>0</v>
      </c>
      <c r="H3" s="42" t="e">
        <f t="shared" ref="H3:H12" si="0">(B3*C3+D3*E3)/F3</f>
        <v>#DIV/0!</v>
      </c>
      <c r="I3" s="32">
        <f t="shared" ref="I3:I12" si="1">IF(G3&lt;2,5,IF(G3&lt;6,10,15))</f>
        <v>5</v>
      </c>
      <c r="J3" s="53">
        <v>0</v>
      </c>
      <c r="K3" s="32">
        <f t="shared" ref="K3:K12" si="2">8913/($I$3+36)*(100+J3)/100</f>
        <v>217.39024390243901</v>
      </c>
      <c r="L3" s="42" t="e">
        <f t="shared" ref="L3:L12" si="3">G3*H3*K3/360</f>
        <v>#DIV/0!</v>
      </c>
      <c r="M3" s="32">
        <f>12470/(I3+36)*(100)/100</f>
        <v>304.14634146341461</v>
      </c>
      <c r="N3" s="42" t="e">
        <f t="shared" ref="N3:N12" si="4">G3*H3*M3/360</f>
        <v>#DIV/0!</v>
      </c>
    </row>
    <row r="4" spans="1:19" x14ac:dyDescent="0.35">
      <c r="A4" s="32">
        <f>BS_inputs!A33</f>
        <v>0</v>
      </c>
      <c r="B4" s="30">
        <f>BS_inputs!B33</f>
        <v>0</v>
      </c>
      <c r="C4" s="30">
        <f>BS_inputs!C33</f>
        <v>0</v>
      </c>
      <c r="D4" s="30">
        <f>BS_inputs!D33</f>
        <v>0</v>
      </c>
      <c r="E4" s="30">
        <f>BS_inputs!E33</f>
        <v>0</v>
      </c>
      <c r="F4" s="32">
        <f>SUM(D4,B4)</f>
        <v>0</v>
      </c>
      <c r="G4" s="32">
        <f>F4/10000</f>
        <v>0</v>
      </c>
      <c r="H4" s="42" t="e">
        <f t="shared" si="0"/>
        <v>#DIV/0!</v>
      </c>
      <c r="I4" s="32">
        <f t="shared" si="1"/>
        <v>5</v>
      </c>
      <c r="J4" s="53">
        <v>0</v>
      </c>
      <c r="K4" s="32">
        <f t="shared" si="2"/>
        <v>217.39024390243901</v>
      </c>
      <c r="L4" s="42" t="e">
        <f t="shared" si="3"/>
        <v>#DIV/0!</v>
      </c>
      <c r="M4" s="32">
        <f>12470/(I4+36)*(100)/100</f>
        <v>304.14634146341461</v>
      </c>
      <c r="N4" s="42" t="e">
        <f t="shared" si="4"/>
        <v>#DIV/0!</v>
      </c>
    </row>
    <row r="5" spans="1:19" x14ac:dyDescent="0.35">
      <c r="A5" s="32">
        <f>BS_inputs!A34</f>
        <v>0</v>
      </c>
      <c r="B5" s="30">
        <f>BS_inputs!B34</f>
        <v>0</v>
      </c>
      <c r="C5" s="30">
        <f>BS_inputs!C34</f>
        <v>0</v>
      </c>
      <c r="D5" s="30">
        <f>BS_inputs!D34</f>
        <v>0</v>
      </c>
      <c r="E5" s="30">
        <f>BS_inputs!E34</f>
        <v>0</v>
      </c>
      <c r="F5" s="32">
        <f t="shared" ref="F5:F12" si="5">SUM(D5,B5)</f>
        <v>0</v>
      </c>
      <c r="G5" s="32">
        <f t="shared" ref="G5:G12" si="6">F5/10000</f>
        <v>0</v>
      </c>
      <c r="H5" s="42" t="e">
        <f t="shared" si="0"/>
        <v>#DIV/0!</v>
      </c>
      <c r="I5" s="32">
        <f t="shared" si="1"/>
        <v>5</v>
      </c>
      <c r="J5" s="53">
        <v>0</v>
      </c>
      <c r="K5" s="32">
        <f t="shared" si="2"/>
        <v>217.39024390243901</v>
      </c>
      <c r="L5" s="42" t="e">
        <f t="shared" si="3"/>
        <v>#DIV/0!</v>
      </c>
      <c r="M5" s="32">
        <f t="shared" ref="M5:M12" si="7">12470/(I5+36)*(100)/100</f>
        <v>304.14634146341461</v>
      </c>
      <c r="N5" s="42" t="e">
        <f t="shared" si="4"/>
        <v>#DIV/0!</v>
      </c>
    </row>
    <row r="6" spans="1:19" x14ac:dyDescent="0.35">
      <c r="A6" s="32">
        <f>BS_inputs!A35</f>
        <v>0</v>
      </c>
      <c r="B6" s="30">
        <f>BS_inputs!B35</f>
        <v>0</v>
      </c>
      <c r="C6" s="30">
        <f>BS_inputs!C35</f>
        <v>0</v>
      </c>
      <c r="D6" s="30">
        <f>BS_inputs!D35</f>
        <v>0</v>
      </c>
      <c r="E6" s="30">
        <f>BS_inputs!E35</f>
        <v>0</v>
      </c>
      <c r="F6" s="32">
        <f t="shared" si="5"/>
        <v>0</v>
      </c>
      <c r="G6" s="32">
        <f t="shared" si="6"/>
        <v>0</v>
      </c>
      <c r="H6" s="42" t="e">
        <f t="shared" si="0"/>
        <v>#DIV/0!</v>
      </c>
      <c r="I6" s="32">
        <f t="shared" si="1"/>
        <v>5</v>
      </c>
      <c r="J6" s="53">
        <v>0</v>
      </c>
      <c r="K6" s="32">
        <f t="shared" si="2"/>
        <v>217.39024390243901</v>
      </c>
      <c r="L6" s="42" t="e">
        <f t="shared" si="3"/>
        <v>#DIV/0!</v>
      </c>
      <c r="M6" s="32">
        <f t="shared" si="7"/>
        <v>304.14634146341461</v>
      </c>
      <c r="N6" s="42" t="e">
        <f t="shared" si="4"/>
        <v>#DIV/0!</v>
      </c>
    </row>
    <row r="7" spans="1:19" x14ac:dyDescent="0.35">
      <c r="A7" s="32">
        <f>BS_inputs!A36</f>
        <v>0</v>
      </c>
      <c r="B7" s="30">
        <f>BS_inputs!B36</f>
        <v>0</v>
      </c>
      <c r="C7" s="30">
        <f>BS_inputs!C36</f>
        <v>0</v>
      </c>
      <c r="D7" s="30">
        <f>BS_inputs!D36</f>
        <v>0</v>
      </c>
      <c r="E7" s="30">
        <f>BS_inputs!E36</f>
        <v>0</v>
      </c>
      <c r="F7" s="32">
        <f t="shared" si="5"/>
        <v>0</v>
      </c>
      <c r="G7" s="32">
        <f t="shared" si="6"/>
        <v>0</v>
      </c>
      <c r="H7" s="42" t="e">
        <f t="shared" si="0"/>
        <v>#DIV/0!</v>
      </c>
      <c r="I7" s="32">
        <f t="shared" si="1"/>
        <v>5</v>
      </c>
      <c r="J7" s="53">
        <v>0</v>
      </c>
      <c r="K7" s="32">
        <f t="shared" si="2"/>
        <v>217.39024390243901</v>
      </c>
      <c r="L7" s="42" t="e">
        <f t="shared" si="3"/>
        <v>#DIV/0!</v>
      </c>
      <c r="M7" s="32">
        <f t="shared" si="7"/>
        <v>304.14634146341461</v>
      </c>
      <c r="N7" s="42" t="e">
        <f t="shared" si="4"/>
        <v>#DIV/0!</v>
      </c>
    </row>
    <row r="8" spans="1:19" x14ac:dyDescent="0.35">
      <c r="A8" s="32">
        <f>BS_inputs!A37</f>
        <v>0</v>
      </c>
      <c r="B8" s="30">
        <f>BS_inputs!B37</f>
        <v>0</v>
      </c>
      <c r="C8" s="30">
        <f>BS_inputs!C37</f>
        <v>0</v>
      </c>
      <c r="D8" s="30">
        <f>BS_inputs!D37</f>
        <v>0</v>
      </c>
      <c r="E8" s="30">
        <f>BS_inputs!E37</f>
        <v>0</v>
      </c>
      <c r="F8" s="32">
        <f t="shared" si="5"/>
        <v>0</v>
      </c>
      <c r="G8" s="32">
        <f t="shared" si="6"/>
        <v>0</v>
      </c>
      <c r="H8" s="42" t="e">
        <f t="shared" si="0"/>
        <v>#DIV/0!</v>
      </c>
      <c r="I8" s="32">
        <f t="shared" si="1"/>
        <v>5</v>
      </c>
      <c r="J8" s="53">
        <v>0</v>
      </c>
      <c r="K8" s="32">
        <f t="shared" si="2"/>
        <v>217.39024390243901</v>
      </c>
      <c r="L8" s="42" t="e">
        <f t="shared" si="3"/>
        <v>#DIV/0!</v>
      </c>
      <c r="M8" s="32">
        <f t="shared" si="7"/>
        <v>304.14634146341461</v>
      </c>
      <c r="N8" s="42" t="e">
        <f t="shared" si="4"/>
        <v>#DIV/0!</v>
      </c>
    </row>
    <row r="9" spans="1:19" x14ac:dyDescent="0.35">
      <c r="A9" s="32">
        <f>BS_inputs!A38</f>
        <v>0</v>
      </c>
      <c r="B9" s="30">
        <f>BS_inputs!B38</f>
        <v>0</v>
      </c>
      <c r="C9" s="30">
        <f>BS_inputs!C38</f>
        <v>0</v>
      </c>
      <c r="D9" s="30">
        <f>BS_inputs!D38</f>
        <v>0</v>
      </c>
      <c r="E9" s="30">
        <f>BS_inputs!E38</f>
        <v>0</v>
      </c>
      <c r="F9" s="32">
        <f t="shared" si="5"/>
        <v>0</v>
      </c>
      <c r="G9" s="32">
        <f t="shared" si="6"/>
        <v>0</v>
      </c>
      <c r="H9" s="42" t="e">
        <f t="shared" si="0"/>
        <v>#DIV/0!</v>
      </c>
      <c r="I9" s="32">
        <f t="shared" si="1"/>
        <v>5</v>
      </c>
      <c r="J9" s="53">
        <v>0</v>
      </c>
      <c r="K9" s="32">
        <f t="shared" si="2"/>
        <v>217.39024390243901</v>
      </c>
      <c r="L9" s="42" t="e">
        <f t="shared" si="3"/>
        <v>#DIV/0!</v>
      </c>
      <c r="M9" s="32">
        <f t="shared" si="7"/>
        <v>304.14634146341461</v>
      </c>
      <c r="N9" s="42" t="e">
        <f t="shared" si="4"/>
        <v>#DIV/0!</v>
      </c>
    </row>
    <row r="10" spans="1:19" x14ac:dyDescent="0.35">
      <c r="A10" s="32">
        <f>BS_inputs!A39</f>
        <v>0</v>
      </c>
      <c r="B10" s="30">
        <f>BS_inputs!B39</f>
        <v>0</v>
      </c>
      <c r="C10" s="30">
        <f>BS_inputs!C39</f>
        <v>0</v>
      </c>
      <c r="D10" s="30">
        <f>BS_inputs!D39</f>
        <v>0</v>
      </c>
      <c r="E10" s="30">
        <f>BS_inputs!E39</f>
        <v>0</v>
      </c>
      <c r="F10" s="32">
        <f t="shared" si="5"/>
        <v>0</v>
      </c>
      <c r="G10" s="32">
        <f t="shared" si="6"/>
        <v>0</v>
      </c>
      <c r="H10" s="42" t="e">
        <f t="shared" si="0"/>
        <v>#DIV/0!</v>
      </c>
      <c r="I10" s="32">
        <f t="shared" si="1"/>
        <v>5</v>
      </c>
      <c r="J10" s="53">
        <v>0</v>
      </c>
      <c r="K10" s="32">
        <f t="shared" si="2"/>
        <v>217.39024390243901</v>
      </c>
      <c r="L10" s="42" t="e">
        <f t="shared" si="3"/>
        <v>#DIV/0!</v>
      </c>
      <c r="M10" s="32">
        <f t="shared" si="7"/>
        <v>304.14634146341461</v>
      </c>
      <c r="N10" s="42" t="e">
        <f t="shared" si="4"/>
        <v>#DIV/0!</v>
      </c>
    </row>
    <row r="11" spans="1:19" x14ac:dyDescent="0.35">
      <c r="A11" s="32">
        <f>BS_inputs!A40</f>
        <v>0</v>
      </c>
      <c r="B11" s="30">
        <f>BS_inputs!B40</f>
        <v>0</v>
      </c>
      <c r="C11" s="30">
        <f>BS_inputs!C40</f>
        <v>0</v>
      </c>
      <c r="D11" s="30">
        <f>BS_inputs!D40</f>
        <v>0</v>
      </c>
      <c r="E11" s="30">
        <f>BS_inputs!E40</f>
        <v>0</v>
      </c>
      <c r="F11" s="32">
        <f t="shared" si="5"/>
        <v>0</v>
      </c>
      <c r="G11" s="32">
        <f t="shared" si="6"/>
        <v>0</v>
      </c>
      <c r="H11" s="42" t="e">
        <f t="shared" si="0"/>
        <v>#DIV/0!</v>
      </c>
      <c r="I11" s="32">
        <f t="shared" si="1"/>
        <v>5</v>
      </c>
      <c r="J11" s="53">
        <v>0</v>
      </c>
      <c r="K11" s="32">
        <f t="shared" si="2"/>
        <v>217.39024390243901</v>
      </c>
      <c r="L11" s="42" t="e">
        <f t="shared" si="3"/>
        <v>#DIV/0!</v>
      </c>
      <c r="M11" s="32">
        <f t="shared" si="7"/>
        <v>304.14634146341461</v>
      </c>
      <c r="N11" s="42" t="e">
        <f t="shared" si="4"/>
        <v>#DIV/0!</v>
      </c>
    </row>
    <row r="12" spans="1:19" x14ac:dyDescent="0.35">
      <c r="A12" s="32">
        <f>BS_inputs!A41</f>
        <v>0</v>
      </c>
      <c r="B12" s="30">
        <f>BS_inputs!B41</f>
        <v>0</v>
      </c>
      <c r="C12" s="30">
        <f>BS_inputs!C41</f>
        <v>0</v>
      </c>
      <c r="D12" s="30">
        <f>BS_inputs!D41</f>
        <v>0</v>
      </c>
      <c r="E12" s="30">
        <f>BS_inputs!E41</f>
        <v>0</v>
      </c>
      <c r="F12" s="32">
        <f t="shared" si="5"/>
        <v>0</v>
      </c>
      <c r="G12" s="32">
        <f t="shared" si="6"/>
        <v>0</v>
      </c>
      <c r="H12" s="42" t="e">
        <f t="shared" si="0"/>
        <v>#DIV/0!</v>
      </c>
      <c r="I12" s="32">
        <f t="shared" si="1"/>
        <v>5</v>
      </c>
      <c r="J12" s="53">
        <v>0</v>
      </c>
      <c r="K12" s="32">
        <f t="shared" si="2"/>
        <v>217.39024390243901</v>
      </c>
      <c r="L12" s="42" t="e">
        <f t="shared" si="3"/>
        <v>#DIV/0!</v>
      </c>
      <c r="M12" s="32">
        <f t="shared" si="7"/>
        <v>304.14634146341461</v>
      </c>
      <c r="N12" s="42" t="e">
        <f t="shared" si="4"/>
        <v>#DIV/0!</v>
      </c>
    </row>
    <row r="15" spans="1:19" x14ac:dyDescent="0.35">
      <c r="B15" s="276" t="s">
        <v>76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8"/>
      <c r="Q15" s="275" t="s">
        <v>108</v>
      </c>
      <c r="R15" s="275"/>
      <c r="S15" s="275"/>
    </row>
    <row r="16" spans="1:19" ht="96" x14ac:dyDescent="0.35">
      <c r="A16" s="33" t="s">
        <v>35</v>
      </c>
      <c r="B16" s="40" t="s">
        <v>109</v>
      </c>
      <c r="C16" s="40" t="s">
        <v>51</v>
      </c>
      <c r="D16" s="40" t="s">
        <v>52</v>
      </c>
      <c r="E16" s="40" t="s">
        <v>53</v>
      </c>
      <c r="F16" s="40" t="s">
        <v>54</v>
      </c>
      <c r="G16" s="40" t="s">
        <v>55</v>
      </c>
      <c r="H16" s="41" t="s">
        <v>85</v>
      </c>
      <c r="I16" s="41" t="s">
        <v>56</v>
      </c>
      <c r="J16" s="41" t="s">
        <v>57</v>
      </c>
      <c r="K16" s="41" t="s">
        <v>58</v>
      </c>
      <c r="L16" s="41" t="s">
        <v>59</v>
      </c>
      <c r="M16" s="41" t="s">
        <v>60</v>
      </c>
      <c r="N16" s="41" t="s">
        <v>61</v>
      </c>
      <c r="O16" s="41" t="s">
        <v>62</v>
      </c>
      <c r="P16" s="41" t="s">
        <v>63</v>
      </c>
      <c r="Q16" s="54" t="s">
        <v>110</v>
      </c>
      <c r="R16" s="54" t="s">
        <v>111</v>
      </c>
      <c r="S16" s="54" t="s">
        <v>112</v>
      </c>
    </row>
    <row r="17" spans="1:20" x14ac:dyDescent="0.35">
      <c r="A17" s="32">
        <f>BS_inputs!A47</f>
        <v>0</v>
      </c>
      <c r="B17" s="56">
        <f>BS_inputs!B47</f>
        <v>0</v>
      </c>
      <c r="C17" s="57">
        <f t="shared" ref="C17:C26" si="8">D17+2*E17*F17</f>
        <v>0</v>
      </c>
      <c r="D17" s="30">
        <f>BS_inputs!D47</f>
        <v>0</v>
      </c>
      <c r="E17" s="30">
        <f>BS_inputs!E47</f>
        <v>0</v>
      </c>
      <c r="F17" s="30">
        <f>BS_inputs!F47</f>
        <v>0</v>
      </c>
      <c r="G17" s="30">
        <f>BS_inputs!H47</f>
        <v>0</v>
      </c>
      <c r="H17" s="32">
        <f t="shared" ref="H17:H26" si="9">E17*0.85</f>
        <v>0</v>
      </c>
      <c r="I17" s="43">
        <f>BS_inputs!K47</f>
        <v>0</v>
      </c>
      <c r="J17" s="30">
        <f>BS_inputs!L47</f>
        <v>0</v>
      </c>
      <c r="K17" s="32">
        <f t="shared" ref="K17:K26" si="10">D17+2*H17*F17</f>
        <v>0</v>
      </c>
      <c r="L17" s="32">
        <f t="shared" ref="L17:L26" si="11">SQRT(((K17-D17)/2)^2+H17^2)</f>
        <v>0</v>
      </c>
      <c r="M17" s="32">
        <f t="shared" ref="M17:M26" si="12">(K17+D17)/2*H17</f>
        <v>0</v>
      </c>
      <c r="N17" s="32">
        <f>D17+2*L17</f>
        <v>0</v>
      </c>
      <c r="O17" s="32" t="e">
        <f t="shared" ref="O17:O26" si="13">M17/N17</f>
        <v>#DIV/0!</v>
      </c>
      <c r="P17" s="42" t="e">
        <f t="shared" ref="P17:P26" si="14">1/J17*M17*(O17^(2/3))*((1/G17)^0.5)</f>
        <v>#DIV/0!</v>
      </c>
      <c r="Q17" s="57">
        <f t="shared" ref="Q17:Q26" si="15">B3*C3+D3*E3</f>
        <v>0</v>
      </c>
      <c r="R17" s="57">
        <f t="shared" ref="R17:R26" si="16">D17*B17</f>
        <v>0</v>
      </c>
      <c r="S17" s="94" t="e">
        <f>R17/Q17</f>
        <v>#DIV/0!</v>
      </c>
    </row>
    <row r="18" spans="1:20" x14ac:dyDescent="0.35">
      <c r="A18" s="32">
        <f>BS_inputs!A48</f>
        <v>0</v>
      </c>
      <c r="B18" s="56">
        <f>BS_inputs!B48</f>
        <v>0</v>
      </c>
      <c r="C18" s="57">
        <f t="shared" si="8"/>
        <v>0</v>
      </c>
      <c r="D18" s="30">
        <f>BS_inputs!D48</f>
        <v>0</v>
      </c>
      <c r="E18" s="30">
        <f>BS_inputs!E48</f>
        <v>0</v>
      </c>
      <c r="F18" s="30">
        <f>BS_inputs!F48</f>
        <v>0</v>
      </c>
      <c r="G18" s="30">
        <f>BS_inputs!H48</f>
        <v>0</v>
      </c>
      <c r="H18" s="32">
        <f t="shared" si="9"/>
        <v>0</v>
      </c>
      <c r="I18" s="43">
        <f>BS_inputs!K48</f>
        <v>0</v>
      </c>
      <c r="J18" s="30">
        <f>BS_inputs!L48</f>
        <v>0</v>
      </c>
      <c r="K18" s="32">
        <f t="shared" si="10"/>
        <v>0</v>
      </c>
      <c r="L18" s="32">
        <f t="shared" si="11"/>
        <v>0</v>
      </c>
      <c r="M18" s="32">
        <f t="shared" si="12"/>
        <v>0</v>
      </c>
      <c r="N18" s="32">
        <f t="shared" ref="N18:N26" si="17">D18+2*L18</f>
        <v>0</v>
      </c>
      <c r="O18" s="32" t="e">
        <f t="shared" si="13"/>
        <v>#DIV/0!</v>
      </c>
      <c r="P18" s="42" t="e">
        <f t="shared" si="14"/>
        <v>#DIV/0!</v>
      </c>
      <c r="Q18" s="57">
        <f t="shared" si="15"/>
        <v>0</v>
      </c>
      <c r="R18" s="57">
        <f t="shared" si="16"/>
        <v>0</v>
      </c>
      <c r="S18" s="94" t="e">
        <f t="shared" ref="S18:S26" si="18">R18/Q18</f>
        <v>#DIV/0!</v>
      </c>
    </row>
    <row r="19" spans="1:20" x14ac:dyDescent="0.35">
      <c r="A19" s="32">
        <f>BS_inputs!A49</f>
        <v>0</v>
      </c>
      <c r="B19" s="56">
        <f>BS_inputs!B49</f>
        <v>0</v>
      </c>
      <c r="C19" s="57">
        <f t="shared" si="8"/>
        <v>0</v>
      </c>
      <c r="D19" s="30">
        <f>BS_inputs!D49</f>
        <v>0</v>
      </c>
      <c r="E19" s="30">
        <f>BS_inputs!E49</f>
        <v>0</v>
      </c>
      <c r="F19" s="30">
        <f>BS_inputs!F49</f>
        <v>0</v>
      </c>
      <c r="G19" s="30">
        <f>BS_inputs!H49</f>
        <v>0</v>
      </c>
      <c r="H19" s="32">
        <f t="shared" si="9"/>
        <v>0</v>
      </c>
      <c r="I19" s="43">
        <f>BS_inputs!K49</f>
        <v>0</v>
      </c>
      <c r="J19" s="30">
        <f>BS_inputs!L49</f>
        <v>0</v>
      </c>
      <c r="K19" s="32">
        <f t="shared" si="10"/>
        <v>0</v>
      </c>
      <c r="L19" s="32">
        <f t="shared" si="11"/>
        <v>0</v>
      </c>
      <c r="M19" s="32">
        <f t="shared" si="12"/>
        <v>0</v>
      </c>
      <c r="N19" s="32">
        <f t="shared" si="17"/>
        <v>0</v>
      </c>
      <c r="O19" s="32" t="e">
        <f t="shared" si="13"/>
        <v>#DIV/0!</v>
      </c>
      <c r="P19" s="42" t="e">
        <f t="shared" si="14"/>
        <v>#DIV/0!</v>
      </c>
      <c r="Q19" s="57">
        <f t="shared" si="15"/>
        <v>0</v>
      </c>
      <c r="R19" s="57">
        <f t="shared" si="16"/>
        <v>0</v>
      </c>
      <c r="S19" s="94" t="e">
        <f t="shared" si="18"/>
        <v>#DIV/0!</v>
      </c>
    </row>
    <row r="20" spans="1:20" x14ac:dyDescent="0.35">
      <c r="A20" s="32">
        <f>BS_inputs!A50</f>
        <v>0</v>
      </c>
      <c r="B20" s="56">
        <f>BS_inputs!B50</f>
        <v>0</v>
      </c>
      <c r="C20" s="57">
        <f t="shared" si="8"/>
        <v>0</v>
      </c>
      <c r="D20" s="30">
        <f>BS_inputs!D50</f>
        <v>0</v>
      </c>
      <c r="E20" s="30">
        <f>BS_inputs!E50</f>
        <v>0</v>
      </c>
      <c r="F20" s="30">
        <f>BS_inputs!F50</f>
        <v>0</v>
      </c>
      <c r="G20" s="30">
        <f>BS_inputs!H50</f>
        <v>0</v>
      </c>
      <c r="H20" s="32">
        <f t="shared" si="9"/>
        <v>0</v>
      </c>
      <c r="I20" s="43">
        <f>BS_inputs!K50</f>
        <v>0</v>
      </c>
      <c r="J20" s="30">
        <f>BS_inputs!L50</f>
        <v>0</v>
      </c>
      <c r="K20" s="32">
        <f t="shared" si="10"/>
        <v>0</v>
      </c>
      <c r="L20" s="32">
        <f t="shared" si="11"/>
        <v>0</v>
      </c>
      <c r="M20" s="32">
        <f t="shared" si="12"/>
        <v>0</v>
      </c>
      <c r="N20" s="32">
        <f t="shared" si="17"/>
        <v>0</v>
      </c>
      <c r="O20" s="32" t="e">
        <f t="shared" si="13"/>
        <v>#DIV/0!</v>
      </c>
      <c r="P20" s="42" t="e">
        <f t="shared" si="14"/>
        <v>#DIV/0!</v>
      </c>
      <c r="Q20" s="57">
        <f t="shared" si="15"/>
        <v>0</v>
      </c>
      <c r="R20" s="57">
        <f t="shared" si="16"/>
        <v>0</v>
      </c>
      <c r="S20" s="94" t="e">
        <f t="shared" si="18"/>
        <v>#DIV/0!</v>
      </c>
    </row>
    <row r="21" spans="1:20" x14ac:dyDescent="0.35">
      <c r="A21" s="32">
        <f>BS_inputs!A51</f>
        <v>0</v>
      </c>
      <c r="B21" s="56">
        <f>BS_inputs!B51</f>
        <v>0</v>
      </c>
      <c r="C21" s="57">
        <f t="shared" si="8"/>
        <v>0</v>
      </c>
      <c r="D21" s="30">
        <f>BS_inputs!D51</f>
        <v>0</v>
      </c>
      <c r="E21" s="30">
        <f>BS_inputs!E51</f>
        <v>0</v>
      </c>
      <c r="F21" s="30">
        <f>BS_inputs!F51</f>
        <v>0</v>
      </c>
      <c r="G21" s="30">
        <f>BS_inputs!H51</f>
        <v>0</v>
      </c>
      <c r="H21" s="32">
        <f t="shared" si="9"/>
        <v>0</v>
      </c>
      <c r="I21" s="43">
        <f>BS_inputs!K51</f>
        <v>0</v>
      </c>
      <c r="J21" s="30">
        <f>BS_inputs!L51</f>
        <v>0</v>
      </c>
      <c r="K21" s="32">
        <f t="shared" si="10"/>
        <v>0</v>
      </c>
      <c r="L21" s="32">
        <f t="shared" si="11"/>
        <v>0</v>
      </c>
      <c r="M21" s="32">
        <f t="shared" si="12"/>
        <v>0</v>
      </c>
      <c r="N21" s="32">
        <f t="shared" si="17"/>
        <v>0</v>
      </c>
      <c r="O21" s="32" t="e">
        <f t="shared" si="13"/>
        <v>#DIV/0!</v>
      </c>
      <c r="P21" s="42" t="e">
        <f t="shared" si="14"/>
        <v>#DIV/0!</v>
      </c>
      <c r="Q21" s="57">
        <f t="shared" si="15"/>
        <v>0</v>
      </c>
      <c r="R21" s="57">
        <f t="shared" si="16"/>
        <v>0</v>
      </c>
      <c r="S21" s="94" t="e">
        <f t="shared" si="18"/>
        <v>#DIV/0!</v>
      </c>
    </row>
    <row r="22" spans="1:20" x14ac:dyDescent="0.35">
      <c r="A22" s="32">
        <f>BS_inputs!A52</f>
        <v>0</v>
      </c>
      <c r="B22" s="56">
        <f>BS_inputs!B52</f>
        <v>0</v>
      </c>
      <c r="C22" s="57">
        <f t="shared" si="8"/>
        <v>0</v>
      </c>
      <c r="D22" s="30">
        <f>BS_inputs!D52</f>
        <v>0</v>
      </c>
      <c r="E22" s="30">
        <f>BS_inputs!E52</f>
        <v>0</v>
      </c>
      <c r="F22" s="30">
        <f>BS_inputs!F52</f>
        <v>0</v>
      </c>
      <c r="G22" s="30">
        <f>BS_inputs!H52</f>
        <v>0</v>
      </c>
      <c r="H22" s="32">
        <f t="shared" si="9"/>
        <v>0</v>
      </c>
      <c r="I22" s="43">
        <f>BS_inputs!K52</f>
        <v>0</v>
      </c>
      <c r="J22" s="30">
        <f>BS_inputs!L52</f>
        <v>0</v>
      </c>
      <c r="K22" s="32">
        <f t="shared" si="10"/>
        <v>0</v>
      </c>
      <c r="L22" s="32">
        <f t="shared" si="11"/>
        <v>0</v>
      </c>
      <c r="M22" s="32">
        <f t="shared" si="12"/>
        <v>0</v>
      </c>
      <c r="N22" s="32">
        <f t="shared" si="17"/>
        <v>0</v>
      </c>
      <c r="O22" s="32" t="e">
        <f t="shared" si="13"/>
        <v>#DIV/0!</v>
      </c>
      <c r="P22" s="42" t="e">
        <f t="shared" si="14"/>
        <v>#DIV/0!</v>
      </c>
      <c r="Q22" s="57">
        <f t="shared" si="15"/>
        <v>0</v>
      </c>
      <c r="R22" s="57">
        <f t="shared" si="16"/>
        <v>0</v>
      </c>
      <c r="S22" s="94" t="e">
        <f t="shared" si="18"/>
        <v>#DIV/0!</v>
      </c>
    </row>
    <row r="23" spans="1:20" x14ac:dyDescent="0.35">
      <c r="A23" s="32">
        <f>BS_inputs!A53</f>
        <v>0</v>
      </c>
      <c r="B23" s="56">
        <f>BS_inputs!B53</f>
        <v>0</v>
      </c>
      <c r="C23" s="57">
        <f t="shared" si="8"/>
        <v>0</v>
      </c>
      <c r="D23" s="30">
        <f>BS_inputs!D53</f>
        <v>0</v>
      </c>
      <c r="E23" s="30">
        <f>BS_inputs!E53</f>
        <v>0</v>
      </c>
      <c r="F23" s="30">
        <f>BS_inputs!F53</f>
        <v>0</v>
      </c>
      <c r="G23" s="30">
        <f>BS_inputs!H53</f>
        <v>0</v>
      </c>
      <c r="H23" s="32">
        <f t="shared" si="9"/>
        <v>0</v>
      </c>
      <c r="I23" s="43">
        <f>BS_inputs!K53</f>
        <v>0</v>
      </c>
      <c r="J23" s="30">
        <f>BS_inputs!L53</f>
        <v>0</v>
      </c>
      <c r="K23" s="32">
        <f t="shared" si="10"/>
        <v>0</v>
      </c>
      <c r="L23" s="32">
        <f t="shared" si="11"/>
        <v>0</v>
      </c>
      <c r="M23" s="32">
        <f t="shared" si="12"/>
        <v>0</v>
      </c>
      <c r="N23" s="32">
        <f t="shared" si="17"/>
        <v>0</v>
      </c>
      <c r="O23" s="32" t="e">
        <f t="shared" si="13"/>
        <v>#DIV/0!</v>
      </c>
      <c r="P23" s="42" t="e">
        <f t="shared" si="14"/>
        <v>#DIV/0!</v>
      </c>
      <c r="Q23" s="57">
        <f t="shared" si="15"/>
        <v>0</v>
      </c>
      <c r="R23" s="57">
        <f t="shared" si="16"/>
        <v>0</v>
      </c>
      <c r="S23" s="94" t="e">
        <f t="shared" si="18"/>
        <v>#DIV/0!</v>
      </c>
    </row>
    <row r="24" spans="1:20" x14ac:dyDescent="0.35">
      <c r="A24" s="32">
        <f>BS_inputs!A54</f>
        <v>0</v>
      </c>
      <c r="B24" s="56">
        <f>BS_inputs!B54</f>
        <v>0</v>
      </c>
      <c r="C24" s="57">
        <f t="shared" si="8"/>
        <v>0</v>
      </c>
      <c r="D24" s="30">
        <f>BS_inputs!D54</f>
        <v>0</v>
      </c>
      <c r="E24" s="30">
        <f>BS_inputs!E54</f>
        <v>0</v>
      </c>
      <c r="F24" s="30">
        <f>BS_inputs!F54</f>
        <v>0</v>
      </c>
      <c r="G24" s="30">
        <f>BS_inputs!H54</f>
        <v>0</v>
      </c>
      <c r="H24" s="32">
        <f t="shared" si="9"/>
        <v>0</v>
      </c>
      <c r="I24" s="43">
        <f>BS_inputs!K54</f>
        <v>0</v>
      </c>
      <c r="J24" s="30">
        <f>BS_inputs!L54</f>
        <v>0</v>
      </c>
      <c r="K24" s="32">
        <f t="shared" si="10"/>
        <v>0</v>
      </c>
      <c r="L24" s="32">
        <f t="shared" si="11"/>
        <v>0</v>
      </c>
      <c r="M24" s="32">
        <f t="shared" si="12"/>
        <v>0</v>
      </c>
      <c r="N24" s="32">
        <f t="shared" si="17"/>
        <v>0</v>
      </c>
      <c r="O24" s="32" t="e">
        <f t="shared" si="13"/>
        <v>#DIV/0!</v>
      </c>
      <c r="P24" s="42" t="e">
        <f t="shared" si="14"/>
        <v>#DIV/0!</v>
      </c>
      <c r="Q24" s="57">
        <f t="shared" si="15"/>
        <v>0</v>
      </c>
      <c r="R24" s="57">
        <f t="shared" si="16"/>
        <v>0</v>
      </c>
      <c r="S24" s="94" t="e">
        <f t="shared" si="18"/>
        <v>#DIV/0!</v>
      </c>
    </row>
    <row r="25" spans="1:20" x14ac:dyDescent="0.35">
      <c r="A25" s="32">
        <f>BS_inputs!A55</f>
        <v>0</v>
      </c>
      <c r="B25" s="56">
        <f>BS_inputs!B55</f>
        <v>0</v>
      </c>
      <c r="C25" s="57">
        <f t="shared" si="8"/>
        <v>0</v>
      </c>
      <c r="D25" s="30">
        <f>BS_inputs!D55</f>
        <v>0</v>
      </c>
      <c r="E25" s="30">
        <f>BS_inputs!E55</f>
        <v>0</v>
      </c>
      <c r="F25" s="30">
        <f>BS_inputs!F55</f>
        <v>0</v>
      </c>
      <c r="G25" s="30">
        <f>BS_inputs!H55</f>
        <v>0</v>
      </c>
      <c r="H25" s="32">
        <f t="shared" si="9"/>
        <v>0</v>
      </c>
      <c r="I25" s="43">
        <f>BS_inputs!K55</f>
        <v>0</v>
      </c>
      <c r="J25" s="30">
        <f>BS_inputs!L55</f>
        <v>0</v>
      </c>
      <c r="K25" s="32">
        <f t="shared" si="10"/>
        <v>0</v>
      </c>
      <c r="L25" s="32">
        <f t="shared" si="11"/>
        <v>0</v>
      </c>
      <c r="M25" s="32">
        <f t="shared" si="12"/>
        <v>0</v>
      </c>
      <c r="N25" s="32">
        <f t="shared" si="17"/>
        <v>0</v>
      </c>
      <c r="O25" s="32" t="e">
        <f t="shared" si="13"/>
        <v>#DIV/0!</v>
      </c>
      <c r="P25" s="42" t="e">
        <f t="shared" si="14"/>
        <v>#DIV/0!</v>
      </c>
      <c r="Q25" s="57">
        <f t="shared" si="15"/>
        <v>0</v>
      </c>
      <c r="R25" s="57">
        <f t="shared" si="16"/>
        <v>0</v>
      </c>
      <c r="S25" s="94" t="e">
        <f t="shared" si="18"/>
        <v>#DIV/0!</v>
      </c>
    </row>
    <row r="26" spans="1:20" x14ac:dyDescent="0.35">
      <c r="A26" s="32">
        <f>BS_inputs!A56</f>
        <v>0</v>
      </c>
      <c r="B26" s="56">
        <f>BS_inputs!B56</f>
        <v>0</v>
      </c>
      <c r="C26" s="57">
        <f t="shared" si="8"/>
        <v>0</v>
      </c>
      <c r="D26" s="30">
        <f>BS_inputs!D56</f>
        <v>0</v>
      </c>
      <c r="E26" s="30">
        <f>BS_inputs!E56</f>
        <v>0</v>
      </c>
      <c r="F26" s="30">
        <f>BS_inputs!F56</f>
        <v>0</v>
      </c>
      <c r="G26" s="30">
        <f>BS_inputs!H56</f>
        <v>0</v>
      </c>
      <c r="H26" s="32">
        <f t="shared" si="9"/>
        <v>0</v>
      </c>
      <c r="I26" s="43">
        <f>BS_inputs!K56</f>
        <v>0</v>
      </c>
      <c r="J26" s="30">
        <f>BS_inputs!L56</f>
        <v>0</v>
      </c>
      <c r="K26" s="32">
        <f t="shared" si="10"/>
        <v>0</v>
      </c>
      <c r="L26" s="32">
        <f t="shared" si="11"/>
        <v>0</v>
      </c>
      <c r="M26" s="32">
        <f t="shared" si="12"/>
        <v>0</v>
      </c>
      <c r="N26" s="32">
        <f t="shared" si="17"/>
        <v>0</v>
      </c>
      <c r="O26" s="32" t="e">
        <f t="shared" si="13"/>
        <v>#DIV/0!</v>
      </c>
      <c r="P26" s="42" t="e">
        <f t="shared" si="14"/>
        <v>#DIV/0!</v>
      </c>
      <c r="Q26" s="57">
        <f t="shared" si="15"/>
        <v>0</v>
      </c>
      <c r="R26" s="57">
        <f t="shared" si="16"/>
        <v>0</v>
      </c>
      <c r="S26" s="94" t="e">
        <f t="shared" si="18"/>
        <v>#DIV/0!</v>
      </c>
    </row>
    <row r="29" spans="1:20" x14ac:dyDescent="0.35">
      <c r="B29" s="270" t="s">
        <v>74</v>
      </c>
      <c r="C29" s="270"/>
      <c r="D29" s="270"/>
      <c r="E29" s="270"/>
      <c r="F29" s="270"/>
      <c r="G29" s="270"/>
      <c r="H29" s="270"/>
      <c r="I29" s="270"/>
      <c r="J29" s="270"/>
      <c r="K29" s="270" t="s">
        <v>75</v>
      </c>
      <c r="L29" s="270"/>
      <c r="M29" s="270"/>
      <c r="N29" s="270"/>
      <c r="O29" s="270"/>
      <c r="P29" s="270"/>
      <c r="Q29" s="270"/>
      <c r="R29" s="270"/>
      <c r="S29" s="270"/>
      <c r="T29" s="270"/>
    </row>
    <row r="30" spans="1:20" ht="93" x14ac:dyDescent="0.35">
      <c r="A30" s="33" t="s">
        <v>35</v>
      </c>
      <c r="B30" s="38" t="s">
        <v>5</v>
      </c>
      <c r="C30" s="38" t="s">
        <v>107</v>
      </c>
      <c r="D30" s="38" t="s">
        <v>64</v>
      </c>
      <c r="E30" s="38" t="s">
        <v>65</v>
      </c>
      <c r="F30" s="39" t="s">
        <v>66</v>
      </c>
      <c r="G30" s="39" t="s">
        <v>67</v>
      </c>
      <c r="H30" s="39" t="s">
        <v>68</v>
      </c>
      <c r="I30" s="38" t="s">
        <v>29</v>
      </c>
      <c r="J30" s="38" t="s">
        <v>6</v>
      </c>
      <c r="K30" s="38" t="s">
        <v>30</v>
      </c>
      <c r="L30" s="38" t="s">
        <v>107</v>
      </c>
      <c r="M30" s="38" t="s">
        <v>69</v>
      </c>
      <c r="N30" s="38" t="s">
        <v>70</v>
      </c>
      <c r="O30" s="39" t="s">
        <v>71</v>
      </c>
      <c r="P30" s="39" t="s">
        <v>72</v>
      </c>
      <c r="Q30" s="39" t="s">
        <v>73</v>
      </c>
      <c r="R30" s="38" t="s">
        <v>29</v>
      </c>
      <c r="S30" s="38" t="s">
        <v>7</v>
      </c>
      <c r="T30" s="38" t="s">
        <v>8</v>
      </c>
    </row>
    <row r="31" spans="1:20" x14ac:dyDescent="0.35">
      <c r="A31" s="32">
        <f>BS_inputs!A62</f>
        <v>0</v>
      </c>
      <c r="B31" s="30">
        <f>BS_inputs!B62</f>
        <v>0</v>
      </c>
      <c r="C31" s="30">
        <f>BS_inputs!D62</f>
        <v>0</v>
      </c>
      <c r="D31" s="32">
        <f t="shared" ref="D31:D40" si="19">$D17+2*(B31*$F17)</f>
        <v>0</v>
      </c>
      <c r="E31" s="32">
        <f t="shared" ref="E31:E40" si="20">SQRT(((D31-$D17)/2)^2+B31^2)</f>
        <v>0</v>
      </c>
      <c r="F31" s="32">
        <f t="shared" ref="F31:F40" si="21">(D31+$D17)/2*B31</f>
        <v>0</v>
      </c>
      <c r="G31" s="32">
        <f t="shared" ref="G31:G40" si="22">$D17+2*E31</f>
        <v>0</v>
      </c>
      <c r="H31" s="32" t="e">
        <f>F31/G31</f>
        <v>#DIV/0!</v>
      </c>
      <c r="I31" s="42" t="e">
        <f t="shared" ref="I31:I40" si="23">1/$C31*F31*(H31^(2/3))*((1/$G17)^0.5)</f>
        <v>#DIV/0!</v>
      </c>
      <c r="J31" s="42" t="e">
        <f>I31/F31</f>
        <v>#DIV/0!</v>
      </c>
      <c r="K31" s="30">
        <f>BS_inputs!G62</f>
        <v>0</v>
      </c>
      <c r="L31" s="30">
        <f>BS_inputs!I62</f>
        <v>0</v>
      </c>
      <c r="M31" s="32">
        <f t="shared" ref="M31:M40" si="24">$D17+2*(K31*$F17)</f>
        <v>0</v>
      </c>
      <c r="N31" s="32">
        <f t="shared" ref="N31:N40" si="25">SQRT(((M31-$D17)/2)^2+K31^2)</f>
        <v>0</v>
      </c>
      <c r="O31" s="32">
        <f t="shared" ref="O31:O40" si="26">(M31+$D17)/2*K31</f>
        <v>0</v>
      </c>
      <c r="P31" s="32">
        <f t="shared" ref="P31:P40" si="27">$D17+2*N31</f>
        <v>0</v>
      </c>
      <c r="Q31" s="32" t="e">
        <f>O31/P31</f>
        <v>#DIV/0!</v>
      </c>
      <c r="R31" s="42" t="e">
        <f t="shared" ref="R31:R40" si="28">1/$L31*O31*(Q31^(2/3))*((1/$G17)^0.5)</f>
        <v>#DIV/0!</v>
      </c>
      <c r="S31" s="42" t="e">
        <f>R31/O31</f>
        <v>#DIV/0!</v>
      </c>
      <c r="T31" s="42" t="e">
        <f>S31*K31</f>
        <v>#DIV/0!</v>
      </c>
    </row>
    <row r="32" spans="1:20" x14ac:dyDescent="0.35">
      <c r="A32" s="32">
        <f>BS_inputs!A63</f>
        <v>0</v>
      </c>
      <c r="B32" s="30">
        <f>BS_inputs!B63</f>
        <v>0</v>
      </c>
      <c r="C32" s="30">
        <f>BS_inputs!D63</f>
        <v>0</v>
      </c>
      <c r="D32" s="32">
        <f t="shared" si="19"/>
        <v>0</v>
      </c>
      <c r="E32" s="32">
        <f t="shared" si="20"/>
        <v>0</v>
      </c>
      <c r="F32" s="32">
        <f t="shared" si="21"/>
        <v>0</v>
      </c>
      <c r="G32" s="32">
        <f t="shared" si="22"/>
        <v>0</v>
      </c>
      <c r="H32" s="32" t="e">
        <f>F32/G32</f>
        <v>#DIV/0!</v>
      </c>
      <c r="I32" s="42" t="e">
        <f t="shared" si="23"/>
        <v>#DIV/0!</v>
      </c>
      <c r="J32" s="42" t="e">
        <f>I32/F32</f>
        <v>#DIV/0!</v>
      </c>
      <c r="K32" s="30">
        <f>BS_inputs!G63</f>
        <v>0</v>
      </c>
      <c r="L32" s="30">
        <f>BS_inputs!I63</f>
        <v>0</v>
      </c>
      <c r="M32" s="32">
        <f t="shared" si="24"/>
        <v>0</v>
      </c>
      <c r="N32" s="32">
        <f t="shared" si="25"/>
        <v>0</v>
      </c>
      <c r="O32" s="32">
        <f t="shared" si="26"/>
        <v>0</v>
      </c>
      <c r="P32" s="32">
        <f t="shared" si="27"/>
        <v>0</v>
      </c>
      <c r="Q32" s="32" t="e">
        <f>O32/P32</f>
        <v>#DIV/0!</v>
      </c>
      <c r="R32" s="42" t="e">
        <f t="shared" si="28"/>
        <v>#DIV/0!</v>
      </c>
      <c r="S32" s="42" t="e">
        <f>R32/O32</f>
        <v>#DIV/0!</v>
      </c>
      <c r="T32" s="42" t="e">
        <f>S32*K32</f>
        <v>#DIV/0!</v>
      </c>
    </row>
    <row r="33" spans="1:20" x14ac:dyDescent="0.35">
      <c r="A33" s="32">
        <f>BS_inputs!A64</f>
        <v>0</v>
      </c>
      <c r="B33" s="30">
        <f>BS_inputs!B64</f>
        <v>0</v>
      </c>
      <c r="C33" s="30">
        <f>BS_inputs!D64</f>
        <v>0</v>
      </c>
      <c r="D33" s="32">
        <f t="shared" si="19"/>
        <v>0</v>
      </c>
      <c r="E33" s="32">
        <f t="shared" si="20"/>
        <v>0</v>
      </c>
      <c r="F33" s="32">
        <f t="shared" si="21"/>
        <v>0</v>
      </c>
      <c r="G33" s="32">
        <f t="shared" si="22"/>
        <v>0</v>
      </c>
      <c r="H33" s="32" t="e">
        <f t="shared" ref="H33:H40" si="29">F33/G33</f>
        <v>#DIV/0!</v>
      </c>
      <c r="I33" s="42" t="e">
        <f t="shared" si="23"/>
        <v>#DIV/0!</v>
      </c>
      <c r="J33" s="42" t="e">
        <f t="shared" ref="J33:J40" si="30">I33/F33</f>
        <v>#DIV/0!</v>
      </c>
      <c r="K33" s="30">
        <f>BS_inputs!G64</f>
        <v>0</v>
      </c>
      <c r="L33" s="30">
        <f>BS_inputs!I64</f>
        <v>0</v>
      </c>
      <c r="M33" s="32">
        <f t="shared" si="24"/>
        <v>0</v>
      </c>
      <c r="N33" s="32">
        <f t="shared" si="25"/>
        <v>0</v>
      </c>
      <c r="O33" s="32">
        <f t="shared" si="26"/>
        <v>0</v>
      </c>
      <c r="P33" s="32">
        <f t="shared" si="27"/>
        <v>0</v>
      </c>
      <c r="Q33" s="32" t="e">
        <f t="shared" ref="Q33:Q40" si="31">O33/P33</f>
        <v>#DIV/0!</v>
      </c>
      <c r="R33" s="42" t="e">
        <f t="shared" si="28"/>
        <v>#DIV/0!</v>
      </c>
      <c r="S33" s="42" t="e">
        <f t="shared" ref="S33:S40" si="32">R33/O33</f>
        <v>#DIV/0!</v>
      </c>
      <c r="T33" s="42" t="e">
        <f t="shared" ref="T33:T40" si="33">S33*K33</f>
        <v>#DIV/0!</v>
      </c>
    </row>
    <row r="34" spans="1:20" x14ac:dyDescent="0.35">
      <c r="A34" s="32">
        <f>BS_inputs!A65</f>
        <v>0</v>
      </c>
      <c r="B34" s="30">
        <f>BS_inputs!B65</f>
        <v>0</v>
      </c>
      <c r="C34" s="30">
        <f>BS_inputs!D65</f>
        <v>0</v>
      </c>
      <c r="D34" s="32">
        <f t="shared" si="19"/>
        <v>0</v>
      </c>
      <c r="E34" s="32">
        <f t="shared" si="20"/>
        <v>0</v>
      </c>
      <c r="F34" s="32">
        <f t="shared" si="21"/>
        <v>0</v>
      </c>
      <c r="G34" s="32">
        <f t="shared" si="22"/>
        <v>0</v>
      </c>
      <c r="H34" s="32" t="e">
        <f t="shared" si="29"/>
        <v>#DIV/0!</v>
      </c>
      <c r="I34" s="42" t="e">
        <f t="shared" si="23"/>
        <v>#DIV/0!</v>
      </c>
      <c r="J34" s="42" t="e">
        <f t="shared" si="30"/>
        <v>#DIV/0!</v>
      </c>
      <c r="K34" s="30">
        <f>BS_inputs!G65</f>
        <v>0</v>
      </c>
      <c r="L34" s="30">
        <f>BS_inputs!I65</f>
        <v>0</v>
      </c>
      <c r="M34" s="32">
        <f t="shared" si="24"/>
        <v>0</v>
      </c>
      <c r="N34" s="32">
        <f t="shared" si="25"/>
        <v>0</v>
      </c>
      <c r="O34" s="32">
        <f t="shared" si="26"/>
        <v>0</v>
      </c>
      <c r="P34" s="32">
        <f t="shared" si="27"/>
        <v>0</v>
      </c>
      <c r="Q34" s="32" t="e">
        <f t="shared" si="31"/>
        <v>#DIV/0!</v>
      </c>
      <c r="R34" s="42" t="e">
        <f t="shared" si="28"/>
        <v>#DIV/0!</v>
      </c>
      <c r="S34" s="42" t="e">
        <f t="shared" si="32"/>
        <v>#DIV/0!</v>
      </c>
      <c r="T34" s="42" t="e">
        <f t="shared" si="33"/>
        <v>#DIV/0!</v>
      </c>
    </row>
    <row r="35" spans="1:20" x14ac:dyDescent="0.35">
      <c r="A35" s="32">
        <f>BS_inputs!A66</f>
        <v>0</v>
      </c>
      <c r="B35" s="30">
        <f>BS_inputs!B66</f>
        <v>0</v>
      </c>
      <c r="C35" s="30">
        <f>BS_inputs!D66</f>
        <v>0</v>
      </c>
      <c r="D35" s="32">
        <f t="shared" si="19"/>
        <v>0</v>
      </c>
      <c r="E35" s="32">
        <f t="shared" si="20"/>
        <v>0</v>
      </c>
      <c r="F35" s="32">
        <f t="shared" si="21"/>
        <v>0</v>
      </c>
      <c r="G35" s="32">
        <f t="shared" si="22"/>
        <v>0</v>
      </c>
      <c r="H35" s="32" t="e">
        <f t="shared" si="29"/>
        <v>#DIV/0!</v>
      </c>
      <c r="I35" s="42" t="e">
        <f t="shared" si="23"/>
        <v>#DIV/0!</v>
      </c>
      <c r="J35" s="42" t="e">
        <f t="shared" si="30"/>
        <v>#DIV/0!</v>
      </c>
      <c r="K35" s="30">
        <f>BS_inputs!G66</f>
        <v>0</v>
      </c>
      <c r="L35" s="30">
        <f>BS_inputs!I66</f>
        <v>0</v>
      </c>
      <c r="M35" s="32">
        <f t="shared" si="24"/>
        <v>0</v>
      </c>
      <c r="N35" s="32">
        <f t="shared" si="25"/>
        <v>0</v>
      </c>
      <c r="O35" s="32">
        <f t="shared" si="26"/>
        <v>0</v>
      </c>
      <c r="P35" s="32">
        <f t="shared" si="27"/>
        <v>0</v>
      </c>
      <c r="Q35" s="32" t="e">
        <f t="shared" si="31"/>
        <v>#DIV/0!</v>
      </c>
      <c r="R35" s="42" t="e">
        <f t="shared" si="28"/>
        <v>#DIV/0!</v>
      </c>
      <c r="S35" s="42" t="e">
        <f t="shared" si="32"/>
        <v>#DIV/0!</v>
      </c>
      <c r="T35" s="42" t="e">
        <f t="shared" si="33"/>
        <v>#DIV/0!</v>
      </c>
    </row>
    <row r="36" spans="1:20" x14ac:dyDescent="0.35">
      <c r="A36" s="32">
        <f>BS_inputs!A67</f>
        <v>0</v>
      </c>
      <c r="B36" s="30">
        <f>BS_inputs!B67</f>
        <v>0</v>
      </c>
      <c r="C36" s="30">
        <f>BS_inputs!D67</f>
        <v>0</v>
      </c>
      <c r="D36" s="32">
        <f t="shared" si="19"/>
        <v>0</v>
      </c>
      <c r="E36" s="32">
        <f t="shared" si="20"/>
        <v>0</v>
      </c>
      <c r="F36" s="32">
        <f t="shared" si="21"/>
        <v>0</v>
      </c>
      <c r="G36" s="32">
        <f t="shared" si="22"/>
        <v>0</v>
      </c>
      <c r="H36" s="32" t="e">
        <f t="shared" si="29"/>
        <v>#DIV/0!</v>
      </c>
      <c r="I36" s="42" t="e">
        <f t="shared" si="23"/>
        <v>#DIV/0!</v>
      </c>
      <c r="J36" s="42" t="e">
        <f t="shared" si="30"/>
        <v>#DIV/0!</v>
      </c>
      <c r="K36" s="30">
        <f>BS_inputs!G67</f>
        <v>0</v>
      </c>
      <c r="L36" s="30">
        <f>BS_inputs!I67</f>
        <v>0</v>
      </c>
      <c r="M36" s="32">
        <f t="shared" si="24"/>
        <v>0</v>
      </c>
      <c r="N36" s="32">
        <f t="shared" si="25"/>
        <v>0</v>
      </c>
      <c r="O36" s="32">
        <f t="shared" si="26"/>
        <v>0</v>
      </c>
      <c r="P36" s="32">
        <f t="shared" si="27"/>
        <v>0</v>
      </c>
      <c r="Q36" s="32" t="e">
        <f t="shared" si="31"/>
        <v>#DIV/0!</v>
      </c>
      <c r="R36" s="42" t="e">
        <f t="shared" si="28"/>
        <v>#DIV/0!</v>
      </c>
      <c r="S36" s="42" t="e">
        <f t="shared" si="32"/>
        <v>#DIV/0!</v>
      </c>
      <c r="T36" s="42" t="e">
        <f t="shared" si="33"/>
        <v>#DIV/0!</v>
      </c>
    </row>
    <row r="37" spans="1:20" x14ac:dyDescent="0.35">
      <c r="A37" s="32">
        <f>BS_inputs!A68</f>
        <v>0</v>
      </c>
      <c r="B37" s="30">
        <f>BS_inputs!B68</f>
        <v>0</v>
      </c>
      <c r="C37" s="30">
        <f>BS_inputs!D68</f>
        <v>0</v>
      </c>
      <c r="D37" s="32">
        <f t="shared" si="19"/>
        <v>0</v>
      </c>
      <c r="E37" s="32">
        <f t="shared" si="20"/>
        <v>0</v>
      </c>
      <c r="F37" s="32">
        <f t="shared" si="21"/>
        <v>0</v>
      </c>
      <c r="G37" s="32">
        <f t="shared" si="22"/>
        <v>0</v>
      </c>
      <c r="H37" s="32" t="e">
        <f t="shared" si="29"/>
        <v>#DIV/0!</v>
      </c>
      <c r="I37" s="42" t="e">
        <f t="shared" si="23"/>
        <v>#DIV/0!</v>
      </c>
      <c r="J37" s="42" t="e">
        <f t="shared" si="30"/>
        <v>#DIV/0!</v>
      </c>
      <c r="K37" s="30">
        <f>BS_inputs!G68</f>
        <v>0</v>
      </c>
      <c r="L37" s="30">
        <f>BS_inputs!I68</f>
        <v>0</v>
      </c>
      <c r="M37" s="32">
        <f t="shared" si="24"/>
        <v>0</v>
      </c>
      <c r="N37" s="32">
        <f t="shared" si="25"/>
        <v>0</v>
      </c>
      <c r="O37" s="32">
        <f t="shared" si="26"/>
        <v>0</v>
      </c>
      <c r="P37" s="32">
        <f t="shared" si="27"/>
        <v>0</v>
      </c>
      <c r="Q37" s="32" t="e">
        <f t="shared" si="31"/>
        <v>#DIV/0!</v>
      </c>
      <c r="R37" s="42" t="e">
        <f t="shared" si="28"/>
        <v>#DIV/0!</v>
      </c>
      <c r="S37" s="42" t="e">
        <f t="shared" si="32"/>
        <v>#DIV/0!</v>
      </c>
      <c r="T37" s="42" t="e">
        <f t="shared" si="33"/>
        <v>#DIV/0!</v>
      </c>
    </row>
    <row r="38" spans="1:20" x14ac:dyDescent="0.35">
      <c r="A38" s="32">
        <f>BS_inputs!A69</f>
        <v>0</v>
      </c>
      <c r="B38" s="30">
        <f>BS_inputs!B69</f>
        <v>0</v>
      </c>
      <c r="C38" s="30">
        <f>BS_inputs!D69</f>
        <v>0</v>
      </c>
      <c r="D38" s="32">
        <f t="shared" si="19"/>
        <v>0</v>
      </c>
      <c r="E38" s="32">
        <f t="shared" si="20"/>
        <v>0</v>
      </c>
      <c r="F38" s="32">
        <f t="shared" si="21"/>
        <v>0</v>
      </c>
      <c r="G38" s="32">
        <f t="shared" si="22"/>
        <v>0</v>
      </c>
      <c r="H38" s="32" t="e">
        <f t="shared" si="29"/>
        <v>#DIV/0!</v>
      </c>
      <c r="I38" s="42" t="e">
        <f t="shared" si="23"/>
        <v>#DIV/0!</v>
      </c>
      <c r="J38" s="42" t="e">
        <f t="shared" si="30"/>
        <v>#DIV/0!</v>
      </c>
      <c r="K38" s="30">
        <f>BS_inputs!G69</f>
        <v>0</v>
      </c>
      <c r="L38" s="30">
        <f>BS_inputs!I69</f>
        <v>0</v>
      </c>
      <c r="M38" s="32">
        <f t="shared" si="24"/>
        <v>0</v>
      </c>
      <c r="N38" s="32">
        <f t="shared" si="25"/>
        <v>0</v>
      </c>
      <c r="O38" s="32">
        <f t="shared" si="26"/>
        <v>0</v>
      </c>
      <c r="P38" s="32">
        <f t="shared" si="27"/>
        <v>0</v>
      </c>
      <c r="Q38" s="32" t="e">
        <f t="shared" si="31"/>
        <v>#DIV/0!</v>
      </c>
      <c r="R38" s="42" t="e">
        <f t="shared" si="28"/>
        <v>#DIV/0!</v>
      </c>
      <c r="S38" s="42" t="e">
        <f t="shared" si="32"/>
        <v>#DIV/0!</v>
      </c>
      <c r="T38" s="42" t="e">
        <f t="shared" si="33"/>
        <v>#DIV/0!</v>
      </c>
    </row>
    <row r="39" spans="1:20" x14ac:dyDescent="0.35">
      <c r="A39" s="32">
        <f>BS_inputs!A70</f>
        <v>0</v>
      </c>
      <c r="B39" s="30">
        <f>BS_inputs!B70</f>
        <v>0</v>
      </c>
      <c r="C39" s="30">
        <f>BS_inputs!D70</f>
        <v>0</v>
      </c>
      <c r="D39" s="32">
        <f t="shared" si="19"/>
        <v>0</v>
      </c>
      <c r="E39" s="32">
        <f t="shared" si="20"/>
        <v>0</v>
      </c>
      <c r="F39" s="32">
        <f t="shared" si="21"/>
        <v>0</v>
      </c>
      <c r="G39" s="32">
        <f t="shared" si="22"/>
        <v>0</v>
      </c>
      <c r="H39" s="32" t="e">
        <f t="shared" si="29"/>
        <v>#DIV/0!</v>
      </c>
      <c r="I39" s="42" t="e">
        <f t="shared" si="23"/>
        <v>#DIV/0!</v>
      </c>
      <c r="J39" s="42" t="e">
        <f t="shared" si="30"/>
        <v>#DIV/0!</v>
      </c>
      <c r="K39" s="30">
        <f>BS_inputs!G70</f>
        <v>0</v>
      </c>
      <c r="L39" s="30">
        <f>BS_inputs!I70</f>
        <v>0</v>
      </c>
      <c r="M39" s="32">
        <f t="shared" si="24"/>
        <v>0</v>
      </c>
      <c r="N39" s="32">
        <f t="shared" si="25"/>
        <v>0</v>
      </c>
      <c r="O39" s="32">
        <f t="shared" si="26"/>
        <v>0</v>
      </c>
      <c r="P39" s="32">
        <f t="shared" si="27"/>
        <v>0</v>
      </c>
      <c r="Q39" s="32" t="e">
        <f t="shared" si="31"/>
        <v>#DIV/0!</v>
      </c>
      <c r="R39" s="42" t="e">
        <f t="shared" si="28"/>
        <v>#DIV/0!</v>
      </c>
      <c r="S39" s="42" t="e">
        <f t="shared" si="32"/>
        <v>#DIV/0!</v>
      </c>
      <c r="T39" s="42" t="e">
        <f t="shared" si="33"/>
        <v>#DIV/0!</v>
      </c>
    </row>
    <row r="40" spans="1:20" x14ac:dyDescent="0.35">
      <c r="A40" s="32">
        <f>BS_inputs!A71</f>
        <v>0</v>
      </c>
      <c r="B40" s="30">
        <f>BS_inputs!B71</f>
        <v>0</v>
      </c>
      <c r="C40" s="30">
        <f>BS_inputs!D71</f>
        <v>0</v>
      </c>
      <c r="D40" s="32">
        <f t="shared" si="19"/>
        <v>0</v>
      </c>
      <c r="E40" s="32">
        <f t="shared" si="20"/>
        <v>0</v>
      </c>
      <c r="F40" s="32">
        <f t="shared" si="21"/>
        <v>0</v>
      </c>
      <c r="G40" s="32">
        <f t="shared" si="22"/>
        <v>0</v>
      </c>
      <c r="H40" s="32" t="e">
        <f t="shared" si="29"/>
        <v>#DIV/0!</v>
      </c>
      <c r="I40" s="42" t="e">
        <f t="shared" si="23"/>
        <v>#DIV/0!</v>
      </c>
      <c r="J40" s="42" t="e">
        <f t="shared" si="30"/>
        <v>#DIV/0!</v>
      </c>
      <c r="K40" s="30">
        <f>BS_inputs!G71</f>
        <v>0</v>
      </c>
      <c r="L40" s="30">
        <f>BS_inputs!I71</f>
        <v>0</v>
      </c>
      <c r="M40" s="32">
        <f t="shared" si="24"/>
        <v>0</v>
      </c>
      <c r="N40" s="32">
        <f t="shared" si="25"/>
        <v>0</v>
      </c>
      <c r="O40" s="32">
        <f t="shared" si="26"/>
        <v>0</v>
      </c>
      <c r="P40" s="32">
        <f t="shared" si="27"/>
        <v>0</v>
      </c>
      <c r="Q40" s="32" t="e">
        <f t="shared" si="31"/>
        <v>#DIV/0!</v>
      </c>
      <c r="R40" s="42" t="e">
        <f t="shared" si="28"/>
        <v>#DIV/0!</v>
      </c>
      <c r="S40" s="42" t="e">
        <f t="shared" si="32"/>
        <v>#DIV/0!</v>
      </c>
      <c r="T40" s="42" t="e">
        <f t="shared" si="33"/>
        <v>#DIV/0!</v>
      </c>
    </row>
    <row r="43" spans="1:20" ht="14.25" customHeight="1" x14ac:dyDescent="0.35">
      <c r="A43" s="279" t="s">
        <v>35</v>
      </c>
      <c r="B43" s="282" t="s">
        <v>295</v>
      </c>
      <c r="C43" s="282"/>
      <c r="D43" s="282"/>
      <c r="E43" s="282"/>
      <c r="F43" s="282"/>
      <c r="G43" s="275" t="s">
        <v>296</v>
      </c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</row>
    <row r="44" spans="1:20" ht="14.25" customHeight="1" x14ac:dyDescent="0.35">
      <c r="A44" s="280"/>
      <c r="B44" s="282"/>
      <c r="C44" s="282"/>
      <c r="D44" s="282"/>
      <c r="E44" s="282"/>
      <c r="F44" s="282"/>
      <c r="G44" s="275" t="s">
        <v>258</v>
      </c>
      <c r="H44" s="275"/>
      <c r="I44" s="275"/>
      <c r="J44" s="275"/>
      <c r="K44" s="275"/>
      <c r="L44" s="275"/>
      <c r="M44" s="275" t="s">
        <v>259</v>
      </c>
      <c r="N44" s="275"/>
      <c r="O44" s="275"/>
      <c r="P44" s="275"/>
      <c r="Q44" s="275"/>
      <c r="R44" s="275"/>
      <c r="S44" s="275"/>
    </row>
    <row r="45" spans="1:20" ht="97" x14ac:dyDescent="0.35">
      <c r="A45" s="281"/>
      <c r="B45" s="40" t="s">
        <v>260</v>
      </c>
      <c r="C45" s="40" t="s">
        <v>261</v>
      </c>
      <c r="D45" s="40" t="s">
        <v>297</v>
      </c>
      <c r="E45" s="40" t="s">
        <v>298</v>
      </c>
      <c r="F45" s="40" t="s">
        <v>299</v>
      </c>
      <c r="G45" s="54" t="s">
        <v>265</v>
      </c>
      <c r="H45" s="54" t="s">
        <v>300</v>
      </c>
      <c r="I45" s="54" t="s">
        <v>14</v>
      </c>
      <c r="J45" s="54" t="s">
        <v>266</v>
      </c>
      <c r="K45" s="54" t="s">
        <v>301</v>
      </c>
      <c r="L45" s="54" t="s">
        <v>302</v>
      </c>
      <c r="M45" s="54" t="s">
        <v>303</v>
      </c>
      <c r="N45" s="54" t="s">
        <v>304</v>
      </c>
      <c r="O45" s="54" t="s">
        <v>305</v>
      </c>
      <c r="P45" s="54" t="s">
        <v>306</v>
      </c>
      <c r="Q45" s="54" t="s">
        <v>307</v>
      </c>
      <c r="R45" s="54" t="s">
        <v>273</v>
      </c>
      <c r="S45" s="54" t="s">
        <v>308</v>
      </c>
      <c r="T45" s="54" t="s">
        <v>309</v>
      </c>
    </row>
    <row r="46" spans="1:20" x14ac:dyDescent="0.35">
      <c r="A46" s="32">
        <f>BS_inputs!A78</f>
        <v>0</v>
      </c>
      <c r="B46" s="30">
        <f>BS_inputs!B78</f>
        <v>0</v>
      </c>
      <c r="C46" s="30">
        <f>BS_inputs!C78</f>
        <v>0</v>
      </c>
      <c r="D46" s="30">
        <f>BS_inputs!D78</f>
        <v>0</v>
      </c>
      <c r="E46" s="30">
        <f>BS_inputs!E78</f>
        <v>0</v>
      </c>
      <c r="F46" s="5" t="e">
        <f>E46*R17*(D46+B46)/B46/3600</f>
        <v>#DIV/0!</v>
      </c>
      <c r="G46" s="30">
        <f>BS_inputs!G78</f>
        <v>0</v>
      </c>
      <c r="H46" s="57">
        <f>BS_inputs!$J$88</f>
        <v>0</v>
      </c>
      <c r="I46" s="57">
        <f>BS_inputs!$J$89</f>
        <v>0</v>
      </c>
      <c r="J46" s="167">
        <f>C46/2</f>
        <v>0</v>
      </c>
      <c r="K46" s="57">
        <f>BS_inputs!I78</f>
        <v>0</v>
      </c>
      <c r="L46" s="5">
        <f>H46*I46*K46*G46*SQRT(2*9.81*J46)</f>
        <v>0</v>
      </c>
      <c r="M46" s="30">
        <f>BS_inputs!L78</f>
        <v>0</v>
      </c>
      <c r="N46" s="57">
        <f>PI()*(M46/2)^2</f>
        <v>0</v>
      </c>
      <c r="O46" s="30">
        <f>BS_inputs!M78</f>
        <v>0</v>
      </c>
      <c r="P46" s="30">
        <f>BS_inputs!N78</f>
        <v>0</v>
      </c>
      <c r="Q46" s="168">
        <f>BS_inputs!$Q$89</f>
        <v>0</v>
      </c>
      <c r="R46" s="30">
        <f>BS_inputs!O78</f>
        <v>0</v>
      </c>
      <c r="S46" s="172" t="e">
        <f>R46*N46*(-2*((2*9.81*M46*O46)^0.5)*LOG((P46/(3.7*M46))+(2.5*Q46/(M46*((2*9.81*M46*O46)^0.5)))))</f>
        <v>#DIV/0!</v>
      </c>
      <c r="T46" s="30">
        <f>BS_inputs!P78</f>
        <v>0</v>
      </c>
    </row>
    <row r="47" spans="1:20" x14ac:dyDescent="0.35">
      <c r="A47" s="32">
        <f>BS_inputs!A79</f>
        <v>0</v>
      </c>
      <c r="B47" s="30">
        <f>BS_inputs!B79</f>
        <v>0</v>
      </c>
      <c r="C47" s="30">
        <f>BS_inputs!C79</f>
        <v>0</v>
      </c>
      <c r="D47" s="30">
        <f>BS_inputs!D79</f>
        <v>0</v>
      </c>
      <c r="E47" s="30">
        <f>BS_inputs!E79</f>
        <v>0</v>
      </c>
      <c r="F47" s="5" t="e">
        <f t="shared" ref="F47:F55" si="34">E47*R18*(D47+B47)/B47/3600</f>
        <v>#DIV/0!</v>
      </c>
      <c r="G47" s="30">
        <f>BS_inputs!G79</f>
        <v>0</v>
      </c>
      <c r="H47" s="57">
        <f>BS_inputs!$J$88</f>
        <v>0</v>
      </c>
      <c r="I47" s="57">
        <f>BS_inputs!$J$89</f>
        <v>0</v>
      </c>
      <c r="J47" s="167">
        <f t="shared" ref="J47:J55" si="35">C47/2</f>
        <v>0</v>
      </c>
      <c r="K47" s="57">
        <f>BS_inputs!I79</f>
        <v>0</v>
      </c>
      <c r="L47" s="5">
        <f t="shared" ref="L47:L55" si="36">H47*I47*K47*G47*SQRT(2*9.81*J47)</f>
        <v>0</v>
      </c>
      <c r="M47" s="30">
        <f>BS_inputs!L79</f>
        <v>0</v>
      </c>
      <c r="N47" s="57">
        <f t="shared" ref="N47:N55" si="37">PI()*(M47/2)^2</f>
        <v>0</v>
      </c>
      <c r="O47" s="30">
        <f>BS_inputs!M79</f>
        <v>0</v>
      </c>
      <c r="P47" s="30">
        <f>BS_inputs!N79</f>
        <v>0</v>
      </c>
      <c r="Q47" s="168">
        <f>BS_inputs!$Q$89</f>
        <v>0</v>
      </c>
      <c r="R47" s="30">
        <f>BS_inputs!O79</f>
        <v>0</v>
      </c>
      <c r="S47" s="42" t="e">
        <f t="shared" ref="S47:S55" si="38">R47*N47*(-2*((2*9.81*M47*O47)^0.5)*LOG((P47/(3.7*M47))+(2.5*Q47/(M47*((2*9.81*M47*O47)^0.5)))))</f>
        <v>#DIV/0!</v>
      </c>
      <c r="T47" s="30">
        <f>BS_inputs!P79</f>
        <v>0</v>
      </c>
    </row>
    <row r="48" spans="1:20" x14ac:dyDescent="0.35">
      <c r="A48" s="32">
        <f>BS_inputs!A80</f>
        <v>0</v>
      </c>
      <c r="B48" s="30">
        <f>BS_inputs!B80</f>
        <v>0</v>
      </c>
      <c r="C48" s="30">
        <f>BS_inputs!C80</f>
        <v>0</v>
      </c>
      <c r="D48" s="30">
        <f>BS_inputs!D80</f>
        <v>0</v>
      </c>
      <c r="E48" s="30">
        <f>BS_inputs!E80</f>
        <v>0</v>
      </c>
      <c r="F48" s="5" t="e">
        <f t="shared" si="34"/>
        <v>#DIV/0!</v>
      </c>
      <c r="G48" s="30">
        <f>BS_inputs!G80</f>
        <v>0</v>
      </c>
      <c r="H48" s="57">
        <f>BS_inputs!$J$88</f>
        <v>0</v>
      </c>
      <c r="I48" s="57">
        <f>BS_inputs!$J$89</f>
        <v>0</v>
      </c>
      <c r="J48" s="167">
        <f t="shared" si="35"/>
        <v>0</v>
      </c>
      <c r="K48" s="57">
        <f>BS_inputs!I80</f>
        <v>0</v>
      </c>
      <c r="L48" s="5">
        <f t="shared" si="36"/>
        <v>0</v>
      </c>
      <c r="M48" s="30">
        <f>BS_inputs!L80</f>
        <v>0</v>
      </c>
      <c r="N48" s="57">
        <f t="shared" si="37"/>
        <v>0</v>
      </c>
      <c r="O48" s="30">
        <f>BS_inputs!M80</f>
        <v>0</v>
      </c>
      <c r="P48" s="30">
        <f>BS_inputs!N80</f>
        <v>0</v>
      </c>
      <c r="Q48" s="168">
        <f>BS_inputs!$Q$89</f>
        <v>0</v>
      </c>
      <c r="R48" s="30">
        <f>BS_inputs!O80</f>
        <v>0</v>
      </c>
      <c r="S48" s="42" t="e">
        <f t="shared" si="38"/>
        <v>#DIV/0!</v>
      </c>
      <c r="T48" s="30">
        <f>BS_inputs!P80</f>
        <v>0</v>
      </c>
    </row>
    <row r="49" spans="1:20" x14ac:dyDescent="0.35">
      <c r="A49" s="32">
        <f>BS_inputs!A81</f>
        <v>0</v>
      </c>
      <c r="B49" s="30">
        <f>BS_inputs!B81</f>
        <v>0</v>
      </c>
      <c r="C49" s="30">
        <f>BS_inputs!C81</f>
        <v>0</v>
      </c>
      <c r="D49" s="30">
        <f>BS_inputs!D81</f>
        <v>0</v>
      </c>
      <c r="E49" s="30">
        <f>BS_inputs!E81</f>
        <v>0</v>
      </c>
      <c r="F49" s="5" t="e">
        <f t="shared" si="34"/>
        <v>#DIV/0!</v>
      </c>
      <c r="G49" s="30">
        <f>BS_inputs!G81</f>
        <v>0</v>
      </c>
      <c r="H49" s="57">
        <f>BS_inputs!$J$88</f>
        <v>0</v>
      </c>
      <c r="I49" s="57">
        <f>BS_inputs!$J$89</f>
        <v>0</v>
      </c>
      <c r="J49" s="167">
        <f t="shared" si="35"/>
        <v>0</v>
      </c>
      <c r="K49" s="57">
        <f>BS_inputs!I81</f>
        <v>0</v>
      </c>
      <c r="L49" s="5">
        <f t="shared" si="36"/>
        <v>0</v>
      </c>
      <c r="M49" s="30">
        <f>BS_inputs!L81</f>
        <v>0</v>
      </c>
      <c r="N49" s="57">
        <f t="shared" si="37"/>
        <v>0</v>
      </c>
      <c r="O49" s="30">
        <f>BS_inputs!M81</f>
        <v>0</v>
      </c>
      <c r="P49" s="30">
        <f>BS_inputs!N81</f>
        <v>0</v>
      </c>
      <c r="Q49" s="168">
        <f>BS_inputs!$Q$89</f>
        <v>0</v>
      </c>
      <c r="R49" s="30">
        <f>BS_inputs!O81</f>
        <v>0</v>
      </c>
      <c r="S49" s="42" t="e">
        <f t="shared" si="38"/>
        <v>#DIV/0!</v>
      </c>
      <c r="T49" s="30">
        <f>BS_inputs!P81</f>
        <v>0</v>
      </c>
    </row>
    <row r="50" spans="1:20" x14ac:dyDescent="0.35">
      <c r="A50" s="32">
        <f>BS_inputs!A82</f>
        <v>0</v>
      </c>
      <c r="B50" s="30">
        <f>BS_inputs!B82</f>
        <v>0</v>
      </c>
      <c r="C50" s="30">
        <f>BS_inputs!C82</f>
        <v>0</v>
      </c>
      <c r="D50" s="30">
        <f>BS_inputs!D82</f>
        <v>0</v>
      </c>
      <c r="E50" s="30">
        <f>BS_inputs!E82</f>
        <v>0</v>
      </c>
      <c r="F50" s="5" t="e">
        <f t="shared" si="34"/>
        <v>#DIV/0!</v>
      </c>
      <c r="G50" s="30">
        <f>BS_inputs!G82</f>
        <v>0</v>
      </c>
      <c r="H50" s="57">
        <f>BS_inputs!$J$88</f>
        <v>0</v>
      </c>
      <c r="I50" s="57">
        <f>BS_inputs!$J$89</f>
        <v>0</v>
      </c>
      <c r="J50" s="167">
        <f t="shared" si="35"/>
        <v>0</v>
      </c>
      <c r="K50" s="57">
        <f>BS_inputs!I82</f>
        <v>0</v>
      </c>
      <c r="L50" s="5">
        <f t="shared" si="36"/>
        <v>0</v>
      </c>
      <c r="M50" s="30">
        <f>BS_inputs!L82</f>
        <v>0</v>
      </c>
      <c r="N50" s="57">
        <f t="shared" si="37"/>
        <v>0</v>
      </c>
      <c r="O50" s="30">
        <f>BS_inputs!M82</f>
        <v>0</v>
      </c>
      <c r="P50" s="30">
        <f>BS_inputs!N82</f>
        <v>0</v>
      </c>
      <c r="Q50" s="168">
        <f>BS_inputs!$Q$89</f>
        <v>0</v>
      </c>
      <c r="R50" s="30">
        <f>BS_inputs!O82</f>
        <v>0</v>
      </c>
      <c r="S50" s="42" t="e">
        <f t="shared" si="38"/>
        <v>#DIV/0!</v>
      </c>
      <c r="T50" s="30">
        <f>BS_inputs!P82</f>
        <v>0</v>
      </c>
    </row>
    <row r="51" spans="1:20" x14ac:dyDescent="0.35">
      <c r="A51" s="32">
        <f>BS_inputs!A83</f>
        <v>0</v>
      </c>
      <c r="B51" s="30">
        <f>BS_inputs!B83</f>
        <v>0</v>
      </c>
      <c r="C51" s="30">
        <f>BS_inputs!C83</f>
        <v>0</v>
      </c>
      <c r="D51" s="30">
        <f>BS_inputs!D83</f>
        <v>0</v>
      </c>
      <c r="E51" s="30">
        <f>BS_inputs!E83</f>
        <v>0</v>
      </c>
      <c r="F51" s="5" t="e">
        <f t="shared" si="34"/>
        <v>#DIV/0!</v>
      </c>
      <c r="G51" s="30">
        <f>BS_inputs!G83</f>
        <v>0</v>
      </c>
      <c r="H51" s="57">
        <f>BS_inputs!$J$88</f>
        <v>0</v>
      </c>
      <c r="I51" s="57">
        <f>BS_inputs!$J$89</f>
        <v>0</v>
      </c>
      <c r="J51" s="167">
        <f t="shared" si="35"/>
        <v>0</v>
      </c>
      <c r="K51" s="57">
        <f>BS_inputs!I83</f>
        <v>0</v>
      </c>
      <c r="L51" s="5">
        <f t="shared" si="36"/>
        <v>0</v>
      </c>
      <c r="M51" s="30">
        <f>BS_inputs!L83</f>
        <v>0</v>
      </c>
      <c r="N51" s="57">
        <f t="shared" si="37"/>
        <v>0</v>
      </c>
      <c r="O51" s="30">
        <f>BS_inputs!M83</f>
        <v>0</v>
      </c>
      <c r="P51" s="30">
        <f>BS_inputs!N83</f>
        <v>0</v>
      </c>
      <c r="Q51" s="168">
        <f>BS_inputs!$Q$89</f>
        <v>0</v>
      </c>
      <c r="R51" s="30">
        <f>BS_inputs!O83</f>
        <v>0</v>
      </c>
      <c r="S51" s="42" t="e">
        <f t="shared" si="38"/>
        <v>#DIV/0!</v>
      </c>
      <c r="T51" s="30">
        <f>BS_inputs!P83</f>
        <v>0</v>
      </c>
    </row>
    <row r="52" spans="1:20" x14ac:dyDescent="0.35">
      <c r="A52" s="32">
        <f>BS_inputs!A84</f>
        <v>0</v>
      </c>
      <c r="B52" s="30">
        <f>BS_inputs!B84</f>
        <v>0</v>
      </c>
      <c r="C52" s="30">
        <f>BS_inputs!C84</f>
        <v>0</v>
      </c>
      <c r="D52" s="30">
        <f>BS_inputs!D84</f>
        <v>0</v>
      </c>
      <c r="E52" s="30">
        <f>BS_inputs!E84</f>
        <v>0</v>
      </c>
      <c r="F52" s="5" t="e">
        <f t="shared" si="34"/>
        <v>#DIV/0!</v>
      </c>
      <c r="G52" s="30">
        <f>BS_inputs!G84</f>
        <v>0</v>
      </c>
      <c r="H52" s="57">
        <f>BS_inputs!$J$88</f>
        <v>0</v>
      </c>
      <c r="I52" s="57">
        <f>BS_inputs!$J$89</f>
        <v>0</v>
      </c>
      <c r="J52" s="167">
        <f t="shared" si="35"/>
        <v>0</v>
      </c>
      <c r="K52" s="57">
        <f>BS_inputs!I84</f>
        <v>0</v>
      </c>
      <c r="L52" s="5">
        <f t="shared" si="36"/>
        <v>0</v>
      </c>
      <c r="M52" s="30">
        <f>BS_inputs!L84</f>
        <v>0</v>
      </c>
      <c r="N52" s="57">
        <f t="shared" si="37"/>
        <v>0</v>
      </c>
      <c r="O52" s="30">
        <f>BS_inputs!M84</f>
        <v>0</v>
      </c>
      <c r="P52" s="30">
        <f>BS_inputs!N84</f>
        <v>0</v>
      </c>
      <c r="Q52" s="168">
        <f>BS_inputs!$Q$89</f>
        <v>0</v>
      </c>
      <c r="R52" s="30">
        <f>BS_inputs!O84</f>
        <v>0</v>
      </c>
      <c r="S52" s="42" t="e">
        <f t="shared" si="38"/>
        <v>#DIV/0!</v>
      </c>
      <c r="T52" s="30">
        <f>BS_inputs!P84</f>
        <v>0</v>
      </c>
    </row>
    <row r="53" spans="1:20" x14ac:dyDescent="0.35">
      <c r="A53" s="32">
        <f>BS_inputs!A85</f>
        <v>0</v>
      </c>
      <c r="B53" s="30">
        <f>BS_inputs!B85</f>
        <v>0</v>
      </c>
      <c r="C53" s="30">
        <f>BS_inputs!C85</f>
        <v>0</v>
      </c>
      <c r="D53" s="30">
        <f>BS_inputs!D85</f>
        <v>0</v>
      </c>
      <c r="E53" s="30">
        <f>BS_inputs!E85</f>
        <v>0</v>
      </c>
      <c r="F53" s="5" t="e">
        <f t="shared" si="34"/>
        <v>#DIV/0!</v>
      </c>
      <c r="G53" s="30">
        <f>BS_inputs!G85</f>
        <v>0</v>
      </c>
      <c r="H53" s="57">
        <f>BS_inputs!$J$88</f>
        <v>0</v>
      </c>
      <c r="I53" s="57">
        <f>BS_inputs!$J$89</f>
        <v>0</v>
      </c>
      <c r="J53" s="167">
        <f t="shared" si="35"/>
        <v>0</v>
      </c>
      <c r="K53" s="57">
        <f>BS_inputs!I85</f>
        <v>0</v>
      </c>
      <c r="L53" s="5">
        <f t="shared" si="36"/>
        <v>0</v>
      </c>
      <c r="M53" s="30">
        <f>BS_inputs!L85</f>
        <v>0</v>
      </c>
      <c r="N53" s="57">
        <f t="shared" si="37"/>
        <v>0</v>
      </c>
      <c r="O53" s="30">
        <f>BS_inputs!M85</f>
        <v>0</v>
      </c>
      <c r="P53" s="30">
        <f>BS_inputs!N85</f>
        <v>0</v>
      </c>
      <c r="Q53" s="168">
        <f>BS_inputs!$Q$89</f>
        <v>0</v>
      </c>
      <c r="R53" s="30">
        <f>BS_inputs!O85</f>
        <v>0</v>
      </c>
      <c r="S53" s="42" t="e">
        <f t="shared" si="38"/>
        <v>#DIV/0!</v>
      </c>
      <c r="T53" s="30">
        <f>BS_inputs!P85</f>
        <v>0</v>
      </c>
    </row>
    <row r="54" spans="1:20" x14ac:dyDescent="0.35">
      <c r="A54" s="32">
        <f>BS_inputs!A86</f>
        <v>0</v>
      </c>
      <c r="B54" s="30">
        <f>BS_inputs!B86</f>
        <v>0</v>
      </c>
      <c r="C54" s="30">
        <f>BS_inputs!C86</f>
        <v>0</v>
      </c>
      <c r="D54" s="30">
        <f>BS_inputs!D86</f>
        <v>0</v>
      </c>
      <c r="E54" s="30">
        <f>BS_inputs!E86</f>
        <v>0</v>
      </c>
      <c r="F54" s="5" t="e">
        <f t="shared" si="34"/>
        <v>#DIV/0!</v>
      </c>
      <c r="G54" s="30">
        <f>BS_inputs!G86</f>
        <v>0</v>
      </c>
      <c r="H54" s="57">
        <f>BS_inputs!$J$88</f>
        <v>0</v>
      </c>
      <c r="I54" s="57">
        <f>BS_inputs!$J$89</f>
        <v>0</v>
      </c>
      <c r="J54" s="167">
        <f t="shared" si="35"/>
        <v>0</v>
      </c>
      <c r="K54" s="57">
        <f>BS_inputs!I86</f>
        <v>0</v>
      </c>
      <c r="L54" s="5">
        <f t="shared" si="36"/>
        <v>0</v>
      </c>
      <c r="M54" s="30">
        <f>BS_inputs!L86</f>
        <v>0</v>
      </c>
      <c r="N54" s="57">
        <f t="shared" si="37"/>
        <v>0</v>
      </c>
      <c r="O54" s="30">
        <f>BS_inputs!M86</f>
        <v>0</v>
      </c>
      <c r="P54" s="30">
        <f>BS_inputs!N86</f>
        <v>0</v>
      </c>
      <c r="Q54" s="168">
        <f>BS_inputs!$Q$89</f>
        <v>0</v>
      </c>
      <c r="R54" s="30">
        <f>BS_inputs!O86</f>
        <v>0</v>
      </c>
      <c r="S54" s="42" t="e">
        <f t="shared" si="38"/>
        <v>#DIV/0!</v>
      </c>
      <c r="T54" s="30">
        <f>BS_inputs!P86</f>
        <v>0</v>
      </c>
    </row>
    <row r="55" spans="1:20" x14ac:dyDescent="0.35">
      <c r="A55" s="32">
        <f>BS_inputs!A87</f>
        <v>0</v>
      </c>
      <c r="B55" s="30">
        <f>BS_inputs!B87</f>
        <v>0</v>
      </c>
      <c r="C55" s="30">
        <f>BS_inputs!C87</f>
        <v>0</v>
      </c>
      <c r="D55" s="30">
        <f>BS_inputs!D87</f>
        <v>0</v>
      </c>
      <c r="E55" s="30">
        <f>BS_inputs!E87</f>
        <v>0</v>
      </c>
      <c r="F55" s="5" t="e">
        <f t="shared" si="34"/>
        <v>#DIV/0!</v>
      </c>
      <c r="G55" s="30">
        <f>BS_inputs!G87</f>
        <v>0</v>
      </c>
      <c r="H55" s="57">
        <f>BS_inputs!$J$88</f>
        <v>0</v>
      </c>
      <c r="I55" s="57">
        <f>BS_inputs!$J$89</f>
        <v>0</v>
      </c>
      <c r="J55" s="167">
        <f t="shared" si="35"/>
        <v>0</v>
      </c>
      <c r="K55" s="57">
        <f>BS_inputs!I87</f>
        <v>0</v>
      </c>
      <c r="L55" s="5">
        <f t="shared" si="36"/>
        <v>0</v>
      </c>
      <c r="M55" s="30">
        <f>BS_inputs!L87</f>
        <v>0</v>
      </c>
      <c r="N55" s="57">
        <f t="shared" si="37"/>
        <v>0</v>
      </c>
      <c r="O55" s="30">
        <f>BS_inputs!M87</f>
        <v>0</v>
      </c>
      <c r="P55" s="30">
        <f>BS_inputs!N87</f>
        <v>0</v>
      </c>
      <c r="Q55" s="168">
        <f>BS_inputs!$Q$89</f>
        <v>0</v>
      </c>
      <c r="R55" s="30">
        <f>BS_inputs!O87</f>
        <v>0</v>
      </c>
      <c r="S55" s="42" t="e">
        <f t="shared" si="38"/>
        <v>#DIV/0!</v>
      </c>
      <c r="T55" s="30">
        <f>BS_inputs!P87</f>
        <v>0</v>
      </c>
    </row>
    <row r="56" spans="1:20" x14ac:dyDescent="0.35">
      <c r="H56" s="2"/>
      <c r="I56" s="2"/>
    </row>
    <row r="57" spans="1:20" x14ac:dyDescent="0.35">
      <c r="H57" s="2"/>
      <c r="I57" s="2"/>
    </row>
    <row r="58" spans="1:20" ht="14.25" customHeight="1" x14ac:dyDescent="0.35">
      <c r="A58" s="279" t="s">
        <v>35</v>
      </c>
      <c r="D58" s="270" t="s">
        <v>310</v>
      </c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</row>
    <row r="59" spans="1:20" ht="14.25" customHeight="1" x14ac:dyDescent="0.35">
      <c r="A59" s="28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</row>
    <row r="60" spans="1:20" ht="93" x14ac:dyDescent="0.35">
      <c r="A60" s="281"/>
      <c r="B60" s="35" t="s">
        <v>333</v>
      </c>
      <c r="C60" s="34" t="s">
        <v>334</v>
      </c>
      <c r="D60" s="169" t="s">
        <v>282</v>
      </c>
      <c r="E60" s="169" t="s">
        <v>311</v>
      </c>
      <c r="F60" s="169" t="s">
        <v>312</v>
      </c>
      <c r="G60" s="169" t="s">
        <v>313</v>
      </c>
      <c r="H60" s="170" t="s">
        <v>286</v>
      </c>
      <c r="I60" s="169" t="s">
        <v>314</v>
      </c>
      <c r="J60" s="169" t="s">
        <v>315</v>
      </c>
      <c r="K60" s="169" t="s">
        <v>316</v>
      </c>
      <c r="L60" s="169" t="s">
        <v>317</v>
      </c>
      <c r="M60" s="170" t="s">
        <v>318</v>
      </c>
      <c r="N60" s="170" t="s">
        <v>319</v>
      </c>
      <c r="O60" s="170" t="s">
        <v>320</v>
      </c>
    </row>
    <row r="61" spans="1:20" x14ac:dyDescent="0.35">
      <c r="A61" s="32">
        <f>BS_inputs!A94</f>
        <v>0</v>
      </c>
      <c r="B61" s="57">
        <f>3820/(I3+43)</f>
        <v>79.583333333333329</v>
      </c>
      <c r="C61" s="5" t="e">
        <f>H3*G3*B61/360</f>
        <v>#DIV/0!</v>
      </c>
      <c r="D61" s="30">
        <f>BS_inputs!D94</f>
        <v>0</v>
      </c>
      <c r="E61" s="30">
        <f>BS_inputs!E94</f>
        <v>0</v>
      </c>
      <c r="F61" s="30">
        <f>BS_inputs!F94</f>
        <v>0</v>
      </c>
      <c r="G61" s="5">
        <f>F61*E61*D61</f>
        <v>0</v>
      </c>
      <c r="H61" s="171">
        <f>BS_inputs!H94</f>
        <v>0</v>
      </c>
      <c r="I61" s="57">
        <f>BS_inputs!$I$104</f>
        <v>0</v>
      </c>
      <c r="J61" s="57">
        <f>BS_inputs!I94</f>
        <v>0</v>
      </c>
      <c r="K61" s="5" t="e">
        <f>(J61*C61/I61)*(((1-H61)^(-1/J61))-1)</f>
        <v>#DIV/0!</v>
      </c>
      <c r="L61" s="30">
        <f>BS_inputs!K94</f>
        <v>0</v>
      </c>
      <c r="M61" s="30">
        <f>BS_inputs!L94</f>
        <v>0</v>
      </c>
      <c r="N61" s="30">
        <f>BS_inputs!M94</f>
        <v>0</v>
      </c>
      <c r="O61" s="167">
        <f>N61*M61*L61</f>
        <v>0</v>
      </c>
    </row>
    <row r="62" spans="1:20" x14ac:dyDescent="0.35">
      <c r="A62" s="32">
        <f>BS_inputs!A95</f>
        <v>0</v>
      </c>
      <c r="B62" s="57">
        <f t="shared" ref="B62:B70" si="39">3820/(I4+43)</f>
        <v>79.583333333333329</v>
      </c>
      <c r="C62" s="5" t="e">
        <f t="shared" ref="C62:C70" si="40">H4*G4*B62/360</f>
        <v>#DIV/0!</v>
      </c>
      <c r="D62" s="30">
        <f>BS_inputs!D95</f>
        <v>0</v>
      </c>
      <c r="E62" s="30">
        <f>BS_inputs!E95</f>
        <v>0</v>
      </c>
      <c r="F62" s="30">
        <f>BS_inputs!F95</f>
        <v>0</v>
      </c>
      <c r="G62" s="5">
        <f t="shared" ref="G62:G70" si="41">F62*E62*D62</f>
        <v>0</v>
      </c>
      <c r="H62" s="171">
        <f>BS_inputs!H95</f>
        <v>0</v>
      </c>
      <c r="I62" s="57">
        <f>BS_inputs!$I$104</f>
        <v>0</v>
      </c>
      <c r="J62" s="57">
        <f>BS_inputs!I95</f>
        <v>0</v>
      </c>
      <c r="K62" s="5" t="e">
        <f t="shared" ref="K62:K70" si="42">(J62*C62/I62)*(((1-H62)^(-1/J62))-1)</f>
        <v>#DIV/0!</v>
      </c>
      <c r="L62" s="30">
        <f>BS_inputs!K95</f>
        <v>0</v>
      </c>
      <c r="M62" s="30">
        <f>BS_inputs!L95</f>
        <v>0</v>
      </c>
      <c r="N62" s="30">
        <f>BS_inputs!M95</f>
        <v>0</v>
      </c>
      <c r="O62" s="167">
        <f t="shared" ref="O62:O70" si="43">N62*M62*L62</f>
        <v>0</v>
      </c>
    </row>
    <row r="63" spans="1:20" x14ac:dyDescent="0.35">
      <c r="A63" s="32">
        <f>BS_inputs!A96</f>
        <v>0</v>
      </c>
      <c r="B63" s="57">
        <f t="shared" si="39"/>
        <v>79.583333333333329</v>
      </c>
      <c r="C63" s="5" t="e">
        <f t="shared" si="40"/>
        <v>#DIV/0!</v>
      </c>
      <c r="D63" s="30">
        <f>BS_inputs!D96</f>
        <v>0</v>
      </c>
      <c r="E63" s="30">
        <f>BS_inputs!E96</f>
        <v>0</v>
      </c>
      <c r="F63" s="30">
        <f>BS_inputs!F96</f>
        <v>0</v>
      </c>
      <c r="G63" s="5">
        <f t="shared" si="41"/>
        <v>0</v>
      </c>
      <c r="H63" s="171">
        <f>BS_inputs!H96</f>
        <v>0</v>
      </c>
      <c r="I63" s="57">
        <f>BS_inputs!$I$104</f>
        <v>0</v>
      </c>
      <c r="J63" s="57">
        <f>BS_inputs!I96</f>
        <v>0</v>
      </c>
      <c r="K63" s="5" t="e">
        <f t="shared" si="42"/>
        <v>#DIV/0!</v>
      </c>
      <c r="L63" s="30">
        <f>BS_inputs!K96</f>
        <v>0</v>
      </c>
      <c r="M63" s="30">
        <f>BS_inputs!L96</f>
        <v>0</v>
      </c>
      <c r="N63" s="30">
        <f>BS_inputs!M96</f>
        <v>0</v>
      </c>
      <c r="O63" s="167">
        <f t="shared" si="43"/>
        <v>0</v>
      </c>
    </row>
    <row r="64" spans="1:20" x14ac:dyDescent="0.35">
      <c r="A64" s="32">
        <f>BS_inputs!A97</f>
        <v>0</v>
      </c>
      <c r="B64" s="57">
        <f t="shared" si="39"/>
        <v>79.583333333333329</v>
      </c>
      <c r="C64" s="5" t="e">
        <f t="shared" si="40"/>
        <v>#DIV/0!</v>
      </c>
      <c r="D64" s="30">
        <f>BS_inputs!D97</f>
        <v>0</v>
      </c>
      <c r="E64" s="30">
        <f>BS_inputs!E97</f>
        <v>0</v>
      </c>
      <c r="F64" s="30">
        <f>BS_inputs!F97</f>
        <v>0</v>
      </c>
      <c r="G64" s="5">
        <f t="shared" si="41"/>
        <v>0</v>
      </c>
      <c r="H64" s="171">
        <f>BS_inputs!H97</f>
        <v>0</v>
      </c>
      <c r="I64" s="57">
        <f>BS_inputs!$I$104</f>
        <v>0</v>
      </c>
      <c r="J64" s="57">
        <f>BS_inputs!I97</f>
        <v>0</v>
      </c>
      <c r="K64" s="5" t="e">
        <f t="shared" si="42"/>
        <v>#DIV/0!</v>
      </c>
      <c r="L64" s="30">
        <f>BS_inputs!K97</f>
        <v>0</v>
      </c>
      <c r="M64" s="30">
        <f>BS_inputs!L97</f>
        <v>0</v>
      </c>
      <c r="N64" s="30">
        <f>BS_inputs!M97</f>
        <v>0</v>
      </c>
      <c r="O64" s="167">
        <f t="shared" si="43"/>
        <v>0</v>
      </c>
    </row>
    <row r="65" spans="1:17" x14ac:dyDescent="0.35">
      <c r="A65" s="32">
        <f>BS_inputs!A98</f>
        <v>0</v>
      </c>
      <c r="B65" s="57">
        <f t="shared" si="39"/>
        <v>79.583333333333329</v>
      </c>
      <c r="C65" s="5" t="e">
        <f t="shared" si="40"/>
        <v>#DIV/0!</v>
      </c>
      <c r="D65" s="30">
        <f>BS_inputs!D98</f>
        <v>0</v>
      </c>
      <c r="E65" s="30">
        <f>BS_inputs!E98</f>
        <v>0</v>
      </c>
      <c r="F65" s="30">
        <f>BS_inputs!F98</f>
        <v>0</v>
      </c>
      <c r="G65" s="5">
        <f t="shared" si="41"/>
        <v>0</v>
      </c>
      <c r="H65" s="171">
        <f>BS_inputs!H98</f>
        <v>0</v>
      </c>
      <c r="I65" s="57">
        <f>BS_inputs!$I$104</f>
        <v>0</v>
      </c>
      <c r="J65" s="57">
        <f>BS_inputs!I98</f>
        <v>0</v>
      </c>
      <c r="K65" s="5" t="e">
        <f t="shared" si="42"/>
        <v>#DIV/0!</v>
      </c>
      <c r="L65" s="30">
        <f>BS_inputs!K98</f>
        <v>0</v>
      </c>
      <c r="M65" s="30">
        <f>BS_inputs!L98</f>
        <v>0</v>
      </c>
      <c r="N65" s="30">
        <f>BS_inputs!M98</f>
        <v>0</v>
      </c>
      <c r="O65" s="167">
        <f t="shared" si="43"/>
        <v>0</v>
      </c>
    </row>
    <row r="66" spans="1:17" x14ac:dyDescent="0.35">
      <c r="A66" s="32">
        <f>BS_inputs!A99</f>
        <v>0</v>
      </c>
      <c r="B66" s="57">
        <f t="shared" si="39"/>
        <v>79.583333333333329</v>
      </c>
      <c r="C66" s="5" t="e">
        <f t="shared" si="40"/>
        <v>#DIV/0!</v>
      </c>
      <c r="D66" s="30">
        <f>BS_inputs!D99</f>
        <v>0</v>
      </c>
      <c r="E66" s="30">
        <f>BS_inputs!E99</f>
        <v>0</v>
      </c>
      <c r="F66" s="30">
        <f>BS_inputs!F99</f>
        <v>0</v>
      </c>
      <c r="G66" s="5">
        <f t="shared" si="41"/>
        <v>0</v>
      </c>
      <c r="H66" s="171">
        <f>BS_inputs!H99</f>
        <v>0</v>
      </c>
      <c r="I66" s="57">
        <f>BS_inputs!$I$104</f>
        <v>0</v>
      </c>
      <c r="J66" s="57">
        <f>BS_inputs!I99</f>
        <v>0</v>
      </c>
      <c r="K66" s="5" t="e">
        <f t="shared" si="42"/>
        <v>#DIV/0!</v>
      </c>
      <c r="L66" s="30">
        <f>BS_inputs!K99</f>
        <v>0</v>
      </c>
      <c r="M66" s="30">
        <f>BS_inputs!L99</f>
        <v>0</v>
      </c>
      <c r="N66" s="30">
        <f>BS_inputs!M99</f>
        <v>0</v>
      </c>
      <c r="O66" s="167">
        <f t="shared" si="43"/>
        <v>0</v>
      </c>
    </row>
    <row r="67" spans="1:17" x14ac:dyDescent="0.35">
      <c r="A67" s="32">
        <f>BS_inputs!A100</f>
        <v>0</v>
      </c>
      <c r="B67" s="57">
        <f t="shared" si="39"/>
        <v>79.583333333333329</v>
      </c>
      <c r="C67" s="5" t="e">
        <f t="shared" si="40"/>
        <v>#DIV/0!</v>
      </c>
      <c r="D67" s="30">
        <f>BS_inputs!D100</f>
        <v>0</v>
      </c>
      <c r="E67" s="30">
        <f>BS_inputs!E100</f>
        <v>0</v>
      </c>
      <c r="F67" s="30">
        <f>BS_inputs!F100</f>
        <v>0</v>
      </c>
      <c r="G67" s="5">
        <f t="shared" si="41"/>
        <v>0</v>
      </c>
      <c r="H67" s="171">
        <f>BS_inputs!H100</f>
        <v>0</v>
      </c>
      <c r="I67" s="57">
        <f>BS_inputs!$I$104</f>
        <v>0</v>
      </c>
      <c r="J67" s="57">
        <f>BS_inputs!I100</f>
        <v>0</v>
      </c>
      <c r="K67" s="5" t="e">
        <f t="shared" si="42"/>
        <v>#DIV/0!</v>
      </c>
      <c r="L67" s="30">
        <f>BS_inputs!K100</f>
        <v>0</v>
      </c>
      <c r="M67" s="30">
        <f>BS_inputs!L100</f>
        <v>0</v>
      </c>
      <c r="N67" s="30">
        <f>BS_inputs!M100</f>
        <v>0</v>
      </c>
      <c r="O67" s="167">
        <f t="shared" si="43"/>
        <v>0</v>
      </c>
    </row>
    <row r="68" spans="1:17" x14ac:dyDescent="0.35">
      <c r="A68" s="32">
        <f>BS_inputs!A101</f>
        <v>0</v>
      </c>
      <c r="B68" s="57">
        <f t="shared" si="39"/>
        <v>79.583333333333329</v>
      </c>
      <c r="C68" s="5" t="e">
        <f t="shared" si="40"/>
        <v>#DIV/0!</v>
      </c>
      <c r="D68" s="30">
        <f>BS_inputs!D101</f>
        <v>0</v>
      </c>
      <c r="E68" s="30">
        <f>BS_inputs!E101</f>
        <v>0</v>
      </c>
      <c r="F68" s="30">
        <f>BS_inputs!F101</f>
        <v>0</v>
      </c>
      <c r="G68" s="5">
        <f t="shared" si="41"/>
        <v>0</v>
      </c>
      <c r="H68" s="171">
        <f>BS_inputs!H101</f>
        <v>0</v>
      </c>
      <c r="I68" s="57">
        <f>BS_inputs!$I$104</f>
        <v>0</v>
      </c>
      <c r="J68" s="57">
        <f>BS_inputs!I101</f>
        <v>0</v>
      </c>
      <c r="K68" s="5" t="e">
        <f t="shared" si="42"/>
        <v>#DIV/0!</v>
      </c>
      <c r="L68" s="30">
        <f>BS_inputs!K101</f>
        <v>0</v>
      </c>
      <c r="M68" s="30">
        <f>BS_inputs!L101</f>
        <v>0</v>
      </c>
      <c r="N68" s="30">
        <f>BS_inputs!M101</f>
        <v>0</v>
      </c>
      <c r="O68" s="167">
        <f t="shared" si="43"/>
        <v>0</v>
      </c>
    </row>
    <row r="69" spans="1:17" x14ac:dyDescent="0.35">
      <c r="A69" s="32">
        <f>BS_inputs!A102</f>
        <v>0</v>
      </c>
      <c r="B69" s="57">
        <f t="shared" si="39"/>
        <v>79.583333333333329</v>
      </c>
      <c r="C69" s="5" t="e">
        <f t="shared" si="40"/>
        <v>#DIV/0!</v>
      </c>
      <c r="D69" s="30">
        <f>BS_inputs!D102</f>
        <v>0</v>
      </c>
      <c r="E69" s="30">
        <f>BS_inputs!E102</f>
        <v>0</v>
      </c>
      <c r="F69" s="30">
        <f>BS_inputs!F102</f>
        <v>0</v>
      </c>
      <c r="G69" s="5">
        <f t="shared" si="41"/>
        <v>0</v>
      </c>
      <c r="H69" s="171">
        <f>BS_inputs!H102</f>
        <v>0</v>
      </c>
      <c r="I69" s="57">
        <f>BS_inputs!$I$104</f>
        <v>0</v>
      </c>
      <c r="J69" s="57">
        <f>BS_inputs!I102</f>
        <v>0</v>
      </c>
      <c r="K69" s="5" t="e">
        <f t="shared" si="42"/>
        <v>#DIV/0!</v>
      </c>
      <c r="L69" s="30">
        <f>BS_inputs!K102</f>
        <v>0</v>
      </c>
      <c r="M69" s="30">
        <f>BS_inputs!L102</f>
        <v>0</v>
      </c>
      <c r="N69" s="30">
        <f>BS_inputs!M102</f>
        <v>0</v>
      </c>
      <c r="O69" s="167">
        <f t="shared" si="43"/>
        <v>0</v>
      </c>
    </row>
    <row r="70" spans="1:17" x14ac:dyDescent="0.35">
      <c r="A70" s="32">
        <f>BS_inputs!A103</f>
        <v>0</v>
      </c>
      <c r="B70" s="57">
        <f t="shared" si="39"/>
        <v>79.583333333333329</v>
      </c>
      <c r="C70" s="5" t="e">
        <f t="shared" si="40"/>
        <v>#DIV/0!</v>
      </c>
      <c r="D70" s="30">
        <f>BS_inputs!D103</f>
        <v>0</v>
      </c>
      <c r="E70" s="30">
        <f>BS_inputs!E103</f>
        <v>0</v>
      </c>
      <c r="F70" s="30">
        <f>BS_inputs!F103</f>
        <v>0</v>
      </c>
      <c r="G70" s="5">
        <f t="shared" si="41"/>
        <v>0</v>
      </c>
      <c r="H70" s="171">
        <f>BS_inputs!H103</f>
        <v>0</v>
      </c>
      <c r="I70" s="57">
        <f>BS_inputs!$I$104</f>
        <v>0</v>
      </c>
      <c r="J70" s="57">
        <f>BS_inputs!I103</f>
        <v>0</v>
      </c>
      <c r="K70" s="5" t="e">
        <f t="shared" si="42"/>
        <v>#DIV/0!</v>
      </c>
      <c r="L70" s="30">
        <f>BS_inputs!K103</f>
        <v>0</v>
      </c>
      <c r="M70" s="30">
        <f>BS_inputs!L103</f>
        <v>0</v>
      </c>
      <c r="N70" s="30">
        <f>BS_inputs!M103</f>
        <v>0</v>
      </c>
      <c r="O70" s="167">
        <f t="shared" si="43"/>
        <v>0</v>
      </c>
    </row>
    <row r="73" spans="1:17" x14ac:dyDescent="0.35">
      <c r="B73" s="272" t="s">
        <v>84</v>
      </c>
      <c r="C73" s="273"/>
      <c r="D73" s="273"/>
      <c r="E73" s="273"/>
      <c r="F73" s="273"/>
      <c r="G73" s="273"/>
      <c r="H73" s="273"/>
      <c r="I73" s="274"/>
      <c r="J73" s="272" t="s">
        <v>157</v>
      </c>
      <c r="K73" s="273"/>
      <c r="L73" s="274"/>
      <c r="M73" s="271" t="s">
        <v>158</v>
      </c>
      <c r="N73" s="271"/>
      <c r="O73" s="271"/>
      <c r="P73" s="83"/>
      <c r="Q73" s="88"/>
    </row>
    <row r="74" spans="1:17" ht="97.5" x14ac:dyDescent="0.4">
      <c r="A74" s="33" t="s">
        <v>35</v>
      </c>
      <c r="B74" s="36" t="s">
        <v>77</v>
      </c>
      <c r="C74" s="36" t="s">
        <v>32</v>
      </c>
      <c r="D74" s="36" t="s">
        <v>78</v>
      </c>
      <c r="E74" s="36" t="s">
        <v>79</v>
      </c>
      <c r="F74" s="36" t="s">
        <v>80</v>
      </c>
      <c r="G74" s="36" t="s">
        <v>81</v>
      </c>
      <c r="H74" s="36" t="s">
        <v>83</v>
      </c>
      <c r="I74" s="37" t="s">
        <v>18</v>
      </c>
      <c r="J74" s="36" t="s">
        <v>82</v>
      </c>
      <c r="K74" s="37" t="s">
        <v>9</v>
      </c>
      <c r="L74" s="36" t="s">
        <v>15</v>
      </c>
      <c r="M74" s="36" t="s">
        <v>17</v>
      </c>
      <c r="N74" s="36" t="s">
        <v>12</v>
      </c>
      <c r="O74" s="89" t="s">
        <v>16</v>
      </c>
      <c r="P74" s="91"/>
      <c r="Q74" s="33" t="s">
        <v>103</v>
      </c>
    </row>
    <row r="75" spans="1:17" x14ac:dyDescent="0.35">
      <c r="A75" s="32">
        <f>BS_inputs!A109</f>
        <v>0</v>
      </c>
      <c r="B75" s="30">
        <f>BS_inputs!B109</f>
        <v>0</v>
      </c>
      <c r="C75" s="30" t="str">
        <f>BS_inputs!C109</f>
        <v>Select</v>
      </c>
      <c r="D75" s="30">
        <f>BS_inputs!D109</f>
        <v>0</v>
      </c>
      <c r="E75" s="30">
        <f>BS_inputs!E109</f>
        <v>0</v>
      </c>
      <c r="F75" s="30">
        <f>BS_inputs!F109</f>
        <v>0</v>
      </c>
      <c r="G75" s="30">
        <f>BS_inputs!G109</f>
        <v>0</v>
      </c>
      <c r="H75" s="30">
        <f>BS_inputs!H109</f>
        <v>0</v>
      </c>
      <c r="I75" s="30">
        <f>BS_inputs!I109</f>
        <v>0</v>
      </c>
      <c r="J75" s="57">
        <f t="shared" ref="J75:J84" si="44">IF(C75="Rectangular sump",(D75+E75)*2*B75,IF(C75="Circular sump",F75*PI()*B75,G75*B75))</f>
        <v>0</v>
      </c>
      <c r="K75" s="30">
        <f>BS_inputs!K109</f>
        <v>0</v>
      </c>
      <c r="L75" s="5">
        <f t="shared" ref="L75:L84" si="45">H75*K75*J75*(I75^1.5)</f>
        <v>0</v>
      </c>
      <c r="M75" s="57" t="str">
        <f t="shared" ref="M75:M84" si="46">IF(C75="Rectangular sump",B75*D75*E75,IF(C75="Circular sump",B75*PI()*(F75/2)^2,"Not applicable"))</f>
        <v>Not applicable</v>
      </c>
      <c r="N75" s="30">
        <f>BS_inputs!O109</f>
        <v>0</v>
      </c>
      <c r="O75" s="90" t="e">
        <f>M75*H75*N75*SQRT(2*9.81*I75)</f>
        <v>#VALUE!</v>
      </c>
      <c r="P75" s="87"/>
      <c r="Q75" s="30">
        <f>BS_inputs!O127</f>
        <v>0</v>
      </c>
    </row>
    <row r="76" spans="1:17" x14ac:dyDescent="0.35">
      <c r="A76" s="32">
        <f>BS_inputs!A110</f>
        <v>0</v>
      </c>
      <c r="B76" s="30">
        <f>BS_inputs!B110</f>
        <v>0</v>
      </c>
      <c r="C76" s="30" t="str">
        <f>BS_inputs!C110</f>
        <v>Select</v>
      </c>
      <c r="D76" s="30">
        <f>BS_inputs!D110</f>
        <v>0</v>
      </c>
      <c r="E76" s="30">
        <f>BS_inputs!E110</f>
        <v>0</v>
      </c>
      <c r="F76" s="30">
        <f>BS_inputs!F110</f>
        <v>0</v>
      </c>
      <c r="G76" s="30">
        <f>BS_inputs!G110</f>
        <v>0</v>
      </c>
      <c r="H76" s="30">
        <f>BS_inputs!H110</f>
        <v>0</v>
      </c>
      <c r="I76" s="30">
        <f t="shared" ref="I76:I84" si="47">$B32</f>
        <v>0</v>
      </c>
      <c r="J76" s="57">
        <f t="shared" si="44"/>
        <v>0</v>
      </c>
      <c r="K76" s="30">
        <f>BS_inputs!K110</f>
        <v>0</v>
      </c>
      <c r="L76" s="5">
        <f t="shared" si="45"/>
        <v>0</v>
      </c>
      <c r="M76" s="57" t="str">
        <f t="shared" si="46"/>
        <v>Not applicable</v>
      </c>
      <c r="N76" s="30">
        <f>BS_inputs!O110</f>
        <v>0</v>
      </c>
      <c r="O76" s="90" t="e">
        <f t="shared" ref="O76:O84" si="48">M76*H76*N76*SQRT(2*9.81*I76)</f>
        <v>#VALUE!</v>
      </c>
      <c r="P76" s="87"/>
      <c r="Q76" s="30">
        <f>BS_inputs!O128</f>
        <v>0</v>
      </c>
    </row>
    <row r="77" spans="1:17" x14ac:dyDescent="0.35">
      <c r="A77" s="32">
        <f>BS_inputs!A111</f>
        <v>0</v>
      </c>
      <c r="B77" s="30">
        <f>BS_inputs!B111</f>
        <v>0</v>
      </c>
      <c r="C77" s="30" t="str">
        <f>BS_inputs!C111</f>
        <v>Select</v>
      </c>
      <c r="D77" s="30">
        <f>BS_inputs!D111</f>
        <v>0</v>
      </c>
      <c r="E77" s="30">
        <f>BS_inputs!E111</f>
        <v>0</v>
      </c>
      <c r="F77" s="30">
        <f>BS_inputs!F111</f>
        <v>0</v>
      </c>
      <c r="G77" s="30">
        <f>BS_inputs!G111</f>
        <v>0</v>
      </c>
      <c r="H77" s="30">
        <f>BS_inputs!H111</f>
        <v>0</v>
      </c>
      <c r="I77" s="30">
        <f t="shared" si="47"/>
        <v>0</v>
      </c>
      <c r="J77" s="57">
        <f t="shared" si="44"/>
        <v>0</v>
      </c>
      <c r="K77" s="30">
        <f>BS_inputs!K111</f>
        <v>0</v>
      </c>
      <c r="L77" s="5">
        <f t="shared" si="45"/>
        <v>0</v>
      </c>
      <c r="M77" s="57" t="str">
        <f t="shared" si="46"/>
        <v>Not applicable</v>
      </c>
      <c r="N77" s="30">
        <f>BS_inputs!O111</f>
        <v>0</v>
      </c>
      <c r="O77" s="90" t="e">
        <f t="shared" si="48"/>
        <v>#VALUE!</v>
      </c>
      <c r="P77" s="87"/>
      <c r="Q77" s="30">
        <f>BS_inputs!O129</f>
        <v>0</v>
      </c>
    </row>
    <row r="78" spans="1:17" x14ac:dyDescent="0.35">
      <c r="A78" s="32">
        <f>BS_inputs!A112</f>
        <v>0</v>
      </c>
      <c r="B78" s="30">
        <f>BS_inputs!B112</f>
        <v>0</v>
      </c>
      <c r="C78" s="30" t="str">
        <f>BS_inputs!C112</f>
        <v>Select</v>
      </c>
      <c r="D78" s="30">
        <f>BS_inputs!D112</f>
        <v>0</v>
      </c>
      <c r="E78" s="30">
        <f>BS_inputs!E112</f>
        <v>0</v>
      </c>
      <c r="F78" s="30">
        <f>BS_inputs!F112</f>
        <v>0</v>
      </c>
      <c r="G78" s="30">
        <f>BS_inputs!G112</f>
        <v>0</v>
      </c>
      <c r="H78" s="30">
        <f>BS_inputs!H112</f>
        <v>0</v>
      </c>
      <c r="I78" s="30">
        <f t="shared" si="47"/>
        <v>0</v>
      </c>
      <c r="J78" s="57">
        <f t="shared" si="44"/>
        <v>0</v>
      </c>
      <c r="K78" s="30">
        <f>BS_inputs!K112</f>
        <v>0</v>
      </c>
      <c r="L78" s="5">
        <f t="shared" si="45"/>
        <v>0</v>
      </c>
      <c r="M78" s="57" t="str">
        <f t="shared" si="46"/>
        <v>Not applicable</v>
      </c>
      <c r="N78" s="30">
        <f>BS_inputs!O112</f>
        <v>0</v>
      </c>
      <c r="O78" s="90" t="e">
        <f t="shared" si="48"/>
        <v>#VALUE!</v>
      </c>
      <c r="P78" s="87"/>
      <c r="Q78" s="30">
        <f>BS_inputs!O130</f>
        <v>0</v>
      </c>
    </row>
    <row r="79" spans="1:17" x14ac:dyDescent="0.35">
      <c r="A79" s="32">
        <f>BS_inputs!A113</f>
        <v>0</v>
      </c>
      <c r="B79" s="30">
        <f>BS_inputs!B113</f>
        <v>0</v>
      </c>
      <c r="C79" s="30" t="str">
        <f>BS_inputs!C113</f>
        <v>Select</v>
      </c>
      <c r="D79" s="30">
        <f>BS_inputs!D113</f>
        <v>0</v>
      </c>
      <c r="E79" s="30">
        <f>BS_inputs!E113</f>
        <v>0</v>
      </c>
      <c r="F79" s="30">
        <f>BS_inputs!F113</f>
        <v>0</v>
      </c>
      <c r="G79" s="30">
        <f>BS_inputs!G113</f>
        <v>0</v>
      </c>
      <c r="H79" s="30">
        <f>BS_inputs!H113</f>
        <v>0</v>
      </c>
      <c r="I79" s="30">
        <f t="shared" si="47"/>
        <v>0</v>
      </c>
      <c r="J79" s="57">
        <f t="shared" si="44"/>
        <v>0</v>
      </c>
      <c r="K79" s="30">
        <f>BS_inputs!K113</f>
        <v>0</v>
      </c>
      <c r="L79" s="5">
        <f t="shared" si="45"/>
        <v>0</v>
      </c>
      <c r="M79" s="57" t="str">
        <f t="shared" si="46"/>
        <v>Not applicable</v>
      </c>
      <c r="N79" s="30">
        <f>BS_inputs!O113</f>
        <v>0</v>
      </c>
      <c r="O79" s="90" t="e">
        <f t="shared" si="48"/>
        <v>#VALUE!</v>
      </c>
      <c r="P79" s="87"/>
      <c r="Q79" s="30">
        <f>BS_inputs!O131</f>
        <v>0</v>
      </c>
    </row>
    <row r="80" spans="1:17" x14ac:dyDescent="0.35">
      <c r="A80" s="32">
        <f>BS_inputs!A114</f>
        <v>0</v>
      </c>
      <c r="B80" s="30">
        <f>BS_inputs!B114</f>
        <v>0</v>
      </c>
      <c r="C80" s="30" t="str">
        <f>BS_inputs!C114</f>
        <v>Select</v>
      </c>
      <c r="D80" s="30">
        <f>BS_inputs!D114</f>
        <v>0</v>
      </c>
      <c r="E80" s="30">
        <f>BS_inputs!E114</f>
        <v>0</v>
      </c>
      <c r="F80" s="30">
        <f>BS_inputs!F114</f>
        <v>0</v>
      </c>
      <c r="G80" s="30">
        <f>BS_inputs!G114</f>
        <v>0</v>
      </c>
      <c r="H80" s="30">
        <f>BS_inputs!H114</f>
        <v>0</v>
      </c>
      <c r="I80" s="30">
        <f t="shared" si="47"/>
        <v>0</v>
      </c>
      <c r="J80" s="57">
        <f t="shared" si="44"/>
        <v>0</v>
      </c>
      <c r="K80" s="30">
        <f>BS_inputs!K114</f>
        <v>0</v>
      </c>
      <c r="L80" s="5">
        <f t="shared" si="45"/>
        <v>0</v>
      </c>
      <c r="M80" s="57" t="str">
        <f t="shared" si="46"/>
        <v>Not applicable</v>
      </c>
      <c r="N80" s="30">
        <f>BS_inputs!O114</f>
        <v>0</v>
      </c>
      <c r="O80" s="90" t="e">
        <f t="shared" si="48"/>
        <v>#VALUE!</v>
      </c>
      <c r="P80" s="87"/>
      <c r="Q80" s="30">
        <f>BS_inputs!O132</f>
        <v>0</v>
      </c>
    </row>
    <row r="81" spans="1:17" x14ac:dyDescent="0.35">
      <c r="A81" s="32">
        <f>BS_inputs!A115</f>
        <v>0</v>
      </c>
      <c r="B81" s="30">
        <f>BS_inputs!B115</f>
        <v>0</v>
      </c>
      <c r="C81" s="30" t="str">
        <f>BS_inputs!C115</f>
        <v>Select</v>
      </c>
      <c r="D81" s="30">
        <f>BS_inputs!D115</f>
        <v>0</v>
      </c>
      <c r="E81" s="30">
        <f>BS_inputs!E115</f>
        <v>0</v>
      </c>
      <c r="F81" s="30">
        <f>BS_inputs!F115</f>
        <v>0</v>
      </c>
      <c r="G81" s="30">
        <f>BS_inputs!G115</f>
        <v>0</v>
      </c>
      <c r="H81" s="30">
        <f>BS_inputs!H115</f>
        <v>0</v>
      </c>
      <c r="I81" s="30">
        <f t="shared" si="47"/>
        <v>0</v>
      </c>
      <c r="J81" s="57">
        <f t="shared" si="44"/>
        <v>0</v>
      </c>
      <c r="K81" s="30">
        <f>BS_inputs!K115</f>
        <v>0</v>
      </c>
      <c r="L81" s="5">
        <f t="shared" si="45"/>
        <v>0</v>
      </c>
      <c r="M81" s="57" t="str">
        <f t="shared" si="46"/>
        <v>Not applicable</v>
      </c>
      <c r="N81" s="30">
        <f>BS_inputs!O115</f>
        <v>0</v>
      </c>
      <c r="O81" s="90" t="e">
        <f t="shared" si="48"/>
        <v>#VALUE!</v>
      </c>
      <c r="P81" s="87"/>
      <c r="Q81" s="30">
        <f>BS_inputs!O133</f>
        <v>0</v>
      </c>
    </row>
    <row r="82" spans="1:17" x14ac:dyDescent="0.35">
      <c r="A82" s="32">
        <f>BS_inputs!A116</f>
        <v>0</v>
      </c>
      <c r="B82" s="30">
        <f>BS_inputs!B116</f>
        <v>0</v>
      </c>
      <c r="C82" s="30" t="str">
        <f>BS_inputs!C116</f>
        <v>Select</v>
      </c>
      <c r="D82" s="30">
        <f>BS_inputs!D116</f>
        <v>0</v>
      </c>
      <c r="E82" s="30">
        <f>BS_inputs!E116</f>
        <v>0</v>
      </c>
      <c r="F82" s="30">
        <f>BS_inputs!F116</f>
        <v>0</v>
      </c>
      <c r="G82" s="30">
        <f>BS_inputs!G116</f>
        <v>0</v>
      </c>
      <c r="H82" s="30">
        <f>BS_inputs!H116</f>
        <v>0</v>
      </c>
      <c r="I82" s="30">
        <f t="shared" si="47"/>
        <v>0</v>
      </c>
      <c r="J82" s="57">
        <f t="shared" si="44"/>
        <v>0</v>
      </c>
      <c r="K82" s="30">
        <f>BS_inputs!K116</f>
        <v>0</v>
      </c>
      <c r="L82" s="5">
        <f t="shared" si="45"/>
        <v>0</v>
      </c>
      <c r="M82" s="57" t="str">
        <f t="shared" si="46"/>
        <v>Not applicable</v>
      </c>
      <c r="N82" s="30">
        <f>BS_inputs!O116</f>
        <v>0</v>
      </c>
      <c r="O82" s="90" t="e">
        <f t="shared" si="48"/>
        <v>#VALUE!</v>
      </c>
      <c r="P82" s="87"/>
      <c r="Q82" s="30">
        <f>BS_inputs!O134</f>
        <v>0</v>
      </c>
    </row>
    <row r="83" spans="1:17" x14ac:dyDescent="0.35">
      <c r="A83" s="32">
        <f>BS_inputs!A117</f>
        <v>0</v>
      </c>
      <c r="B83" s="30">
        <f>BS_inputs!B117</f>
        <v>0</v>
      </c>
      <c r="C83" s="30" t="str">
        <f>BS_inputs!C117</f>
        <v>Select</v>
      </c>
      <c r="D83" s="30">
        <f>BS_inputs!D117</f>
        <v>0</v>
      </c>
      <c r="E83" s="30">
        <f>BS_inputs!E117</f>
        <v>0</v>
      </c>
      <c r="F83" s="30">
        <f>BS_inputs!F117</f>
        <v>0</v>
      </c>
      <c r="G83" s="30">
        <f>BS_inputs!G117</f>
        <v>0</v>
      </c>
      <c r="H83" s="30">
        <f>BS_inputs!H117</f>
        <v>0</v>
      </c>
      <c r="I83" s="30">
        <f t="shared" si="47"/>
        <v>0</v>
      </c>
      <c r="J83" s="57">
        <f t="shared" si="44"/>
        <v>0</v>
      </c>
      <c r="K83" s="30">
        <f>BS_inputs!K117</f>
        <v>0</v>
      </c>
      <c r="L83" s="5">
        <f t="shared" si="45"/>
        <v>0</v>
      </c>
      <c r="M83" s="57" t="str">
        <f t="shared" si="46"/>
        <v>Not applicable</v>
      </c>
      <c r="N83" s="30">
        <f>BS_inputs!O117</f>
        <v>0</v>
      </c>
      <c r="O83" s="90" t="e">
        <f t="shared" si="48"/>
        <v>#VALUE!</v>
      </c>
      <c r="P83" s="87"/>
      <c r="Q83" s="30">
        <f>BS_inputs!O135</f>
        <v>0</v>
      </c>
    </row>
    <row r="84" spans="1:17" x14ac:dyDescent="0.35">
      <c r="A84" s="32">
        <f>BS_inputs!A118</f>
        <v>0</v>
      </c>
      <c r="B84" s="30">
        <f>BS_inputs!B118</f>
        <v>0</v>
      </c>
      <c r="C84" s="30" t="str">
        <f>BS_inputs!C118</f>
        <v>Select</v>
      </c>
      <c r="D84" s="30">
        <f>BS_inputs!D118</f>
        <v>0</v>
      </c>
      <c r="E84" s="30">
        <f>BS_inputs!E118</f>
        <v>0</v>
      </c>
      <c r="F84" s="30">
        <f>BS_inputs!F118</f>
        <v>0</v>
      </c>
      <c r="G84" s="30">
        <f>BS_inputs!G118</f>
        <v>0</v>
      </c>
      <c r="H84" s="30">
        <f>BS_inputs!H118</f>
        <v>0</v>
      </c>
      <c r="I84" s="30">
        <f t="shared" si="47"/>
        <v>0</v>
      </c>
      <c r="J84" s="57">
        <f t="shared" si="44"/>
        <v>0</v>
      </c>
      <c r="K84" s="30">
        <f>BS_inputs!K118</f>
        <v>0</v>
      </c>
      <c r="L84" s="5">
        <f t="shared" si="45"/>
        <v>0</v>
      </c>
      <c r="M84" s="57" t="str">
        <f t="shared" si="46"/>
        <v>Not applicable</v>
      </c>
      <c r="N84" s="30">
        <f>BS_inputs!O118</f>
        <v>0</v>
      </c>
      <c r="O84" s="90" t="e">
        <f t="shared" si="48"/>
        <v>#VALUE!</v>
      </c>
      <c r="P84" s="87"/>
      <c r="Q84" s="30">
        <f>BS_inputs!O136</f>
        <v>0</v>
      </c>
    </row>
  </sheetData>
  <mergeCells count="16">
    <mergeCell ref="A58:A60"/>
    <mergeCell ref="D58:O59"/>
    <mergeCell ref="A43:A45"/>
    <mergeCell ref="B43:F44"/>
    <mergeCell ref="G43:S43"/>
    <mergeCell ref="G44:L44"/>
    <mergeCell ref="M44:S44"/>
    <mergeCell ref="B1:H1"/>
    <mergeCell ref="I1:N1"/>
    <mergeCell ref="B29:J29"/>
    <mergeCell ref="K29:T29"/>
    <mergeCell ref="M73:O73"/>
    <mergeCell ref="J73:L73"/>
    <mergeCell ref="B73:I73"/>
    <mergeCell ref="Q15:S15"/>
    <mergeCell ref="B15:P15"/>
  </mergeCells>
  <phoneticPr fontId="22" type="noConversion"/>
  <conditionalFormatting sqref="H61:H70">
    <cfRule type="cellIs" dxfId="73" priority="2" operator="equal">
      <formula>"NO"</formula>
    </cfRule>
  </conditionalFormatting>
  <conditionalFormatting sqref="O61:O70">
    <cfRule type="cellIs" dxfId="72" priority="1" operator="equal">
      <formula>"NO"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9391-C281-4CBE-B324-3F643785A072}">
  <dimension ref="A1:AL14"/>
  <sheetViews>
    <sheetView zoomScaleNormal="100" workbookViewId="0">
      <pane xSplit="1" ySplit="3" topLeftCell="O4" activePane="bottomRight" state="frozen"/>
      <selection activeCell="D88" sqref="D88:O89"/>
      <selection pane="topRight" activeCell="D88" sqref="D88:O89"/>
      <selection pane="bottomLeft" activeCell="D88" sqref="D88:O89"/>
      <selection pane="bottomRight" activeCell="D88" sqref="D88:O89"/>
    </sheetView>
  </sheetViews>
  <sheetFormatPr defaultRowHeight="14.5" x14ac:dyDescent="0.35"/>
  <cols>
    <col min="1" max="1" width="13" customWidth="1"/>
    <col min="2" max="2" width="9.7265625" bestFit="1" customWidth="1"/>
    <col min="4" max="5" width="9.7265625" bestFit="1" customWidth="1"/>
    <col min="6" max="6" width="12.26953125" bestFit="1" customWidth="1"/>
    <col min="9" max="9" width="11.7265625" bestFit="1" customWidth="1"/>
    <col min="10" max="10" width="11" bestFit="1" customWidth="1"/>
    <col min="11" max="11" width="9.7265625" customWidth="1"/>
    <col min="13" max="13" width="9.1796875" customWidth="1"/>
    <col min="14" max="14" width="10" bestFit="1" customWidth="1"/>
    <col min="17" max="18" width="8.81640625"/>
    <col min="19" max="19" width="10.54296875" bestFit="1" customWidth="1"/>
    <col min="20" max="21" width="8.81640625"/>
    <col min="22" max="22" width="10.54296875" bestFit="1" customWidth="1"/>
    <col min="23" max="29" width="8.81640625"/>
    <col min="31" max="31" width="11" bestFit="1" customWidth="1"/>
    <col min="32" max="32" width="11.26953125" customWidth="1"/>
    <col min="33" max="34" width="10.81640625" bestFit="1" customWidth="1"/>
    <col min="35" max="36" width="11.1796875" customWidth="1"/>
    <col min="38" max="38" width="20.453125" customWidth="1"/>
  </cols>
  <sheetData>
    <row r="1" spans="1:38" s="1" customFormat="1" ht="15.5" x14ac:dyDescent="0.35">
      <c r="A1" s="32"/>
      <c r="B1" s="287" t="s">
        <v>50</v>
      </c>
      <c r="C1" s="288"/>
      <c r="D1" s="288"/>
      <c r="E1" s="289"/>
      <c r="F1" s="58" t="s">
        <v>108</v>
      </c>
      <c r="G1" s="276" t="s">
        <v>92</v>
      </c>
      <c r="H1" s="277"/>
      <c r="I1" s="277"/>
      <c r="J1" s="277"/>
      <c r="K1" s="278"/>
      <c r="L1" s="294" t="s">
        <v>91</v>
      </c>
      <c r="M1" s="295"/>
      <c r="N1" s="295"/>
      <c r="O1" s="295"/>
      <c r="P1" s="296"/>
      <c r="Q1" s="282" t="s">
        <v>295</v>
      </c>
      <c r="R1" s="282"/>
      <c r="S1" s="282"/>
      <c r="T1" s="275" t="s">
        <v>321</v>
      </c>
      <c r="U1" s="275"/>
      <c r="V1" s="275"/>
      <c r="W1" s="275"/>
      <c r="X1" s="275"/>
      <c r="Y1" s="275"/>
      <c r="Z1" s="294" t="s">
        <v>310</v>
      </c>
      <c r="AA1" s="295"/>
      <c r="AB1" s="295"/>
      <c r="AC1" s="295"/>
      <c r="AD1" s="272" t="s">
        <v>10</v>
      </c>
      <c r="AE1" s="273"/>
      <c r="AF1" s="274"/>
      <c r="AG1" s="272" t="s">
        <v>11</v>
      </c>
      <c r="AH1" s="273"/>
      <c r="AI1" s="274"/>
      <c r="AJ1" s="32"/>
      <c r="AK1" s="32"/>
    </row>
    <row r="2" spans="1:38" s="50" customFormat="1" ht="125" x14ac:dyDescent="0.4">
      <c r="A2" s="279" t="s">
        <v>35</v>
      </c>
      <c r="B2" s="34" t="s">
        <v>40</v>
      </c>
      <c r="C2" s="34" t="s">
        <v>45</v>
      </c>
      <c r="D2" s="34" t="s">
        <v>98</v>
      </c>
      <c r="E2" s="34" t="s">
        <v>99</v>
      </c>
      <c r="F2" s="54" t="s">
        <v>112</v>
      </c>
      <c r="G2" s="40" t="s">
        <v>54</v>
      </c>
      <c r="H2" s="40" t="s">
        <v>55</v>
      </c>
      <c r="I2" s="47" t="s">
        <v>57</v>
      </c>
      <c r="J2" s="285" t="s">
        <v>63</v>
      </c>
      <c r="K2" s="286"/>
      <c r="L2" s="283" t="s">
        <v>6</v>
      </c>
      <c r="M2" s="284"/>
      <c r="N2" s="283" t="s">
        <v>7</v>
      </c>
      <c r="O2" s="284"/>
      <c r="P2" s="48" t="s">
        <v>8</v>
      </c>
      <c r="Q2" s="40" t="s">
        <v>322</v>
      </c>
      <c r="R2" s="40" t="s">
        <v>298</v>
      </c>
      <c r="S2" s="40" t="s">
        <v>299</v>
      </c>
      <c r="T2" s="54" t="s">
        <v>266</v>
      </c>
      <c r="U2" s="54" t="s">
        <v>302</v>
      </c>
      <c r="V2" s="54" t="s">
        <v>323</v>
      </c>
      <c r="W2" s="54" t="s">
        <v>308</v>
      </c>
      <c r="X2" s="54" t="s">
        <v>324</v>
      </c>
      <c r="Y2" s="54" t="s">
        <v>309</v>
      </c>
      <c r="Z2" s="169" t="s">
        <v>325</v>
      </c>
      <c r="AA2" s="169" t="s">
        <v>316</v>
      </c>
      <c r="AB2" s="169" t="s">
        <v>326</v>
      </c>
      <c r="AC2" s="169" t="s">
        <v>327</v>
      </c>
      <c r="AD2" s="49" t="s">
        <v>82</v>
      </c>
      <c r="AE2" s="292" t="s">
        <v>15</v>
      </c>
      <c r="AF2" s="293"/>
      <c r="AG2" s="49" t="s">
        <v>17</v>
      </c>
      <c r="AH2" s="292" t="s">
        <v>16</v>
      </c>
      <c r="AI2" s="293"/>
      <c r="AJ2" s="290" t="s">
        <v>103</v>
      </c>
      <c r="AK2" s="291"/>
    </row>
    <row r="3" spans="1:38" s="50" customFormat="1" ht="21.75" customHeight="1" x14ac:dyDescent="0.35">
      <c r="A3" s="281"/>
      <c r="B3" s="46" t="s">
        <v>97</v>
      </c>
      <c r="C3" s="34" t="s">
        <v>87</v>
      </c>
      <c r="D3" s="34" t="s">
        <v>97</v>
      </c>
      <c r="E3" s="34" t="s">
        <v>97</v>
      </c>
      <c r="F3" s="54" t="s">
        <v>86</v>
      </c>
      <c r="G3" s="40" t="s">
        <v>88</v>
      </c>
      <c r="H3" s="40" t="s">
        <v>89</v>
      </c>
      <c r="I3" s="47" t="s">
        <v>90</v>
      </c>
      <c r="J3" s="47" t="s">
        <v>97</v>
      </c>
      <c r="K3" s="47" t="s">
        <v>95</v>
      </c>
      <c r="L3" s="48" t="s">
        <v>97</v>
      </c>
      <c r="M3" s="48" t="s">
        <v>93</v>
      </c>
      <c r="N3" s="48" t="s">
        <v>97</v>
      </c>
      <c r="O3" s="48" t="s">
        <v>94</v>
      </c>
      <c r="P3" s="48" t="s">
        <v>96</v>
      </c>
      <c r="Q3" s="40" t="s">
        <v>328</v>
      </c>
      <c r="R3" s="40" t="s">
        <v>329</v>
      </c>
      <c r="S3" s="40" t="s">
        <v>97</v>
      </c>
      <c r="T3" s="54" t="s">
        <v>87</v>
      </c>
      <c r="U3" s="54" t="s">
        <v>97</v>
      </c>
      <c r="V3" s="173"/>
      <c r="W3" s="54" t="s">
        <v>97</v>
      </c>
      <c r="X3" s="173"/>
      <c r="Y3" s="54" t="s">
        <v>330</v>
      </c>
      <c r="Z3" s="169" t="s">
        <v>97</v>
      </c>
      <c r="AA3" s="169" t="s">
        <v>97</v>
      </c>
      <c r="AB3" s="169"/>
      <c r="AC3" s="169"/>
      <c r="AD3" s="49" t="s">
        <v>97</v>
      </c>
      <c r="AE3" s="49" t="s">
        <v>97</v>
      </c>
      <c r="AF3" s="49" t="s">
        <v>100</v>
      </c>
      <c r="AG3" s="49" t="s">
        <v>97</v>
      </c>
      <c r="AH3" s="49" t="s">
        <v>97</v>
      </c>
      <c r="AI3" s="49" t="s">
        <v>101</v>
      </c>
      <c r="AJ3" s="45" t="s">
        <v>97</v>
      </c>
      <c r="AK3" s="45" t="s">
        <v>104</v>
      </c>
      <c r="AL3" s="55" t="s">
        <v>102</v>
      </c>
    </row>
    <row r="4" spans="1:38" s="1" customFormat="1" ht="15.5" x14ac:dyDescent="0.35">
      <c r="A4" s="32">
        <f>BS_inputs!A32</f>
        <v>0</v>
      </c>
      <c r="B4" s="52" t="e">
        <f>(BS_inputs!G32-BS_backend!H3)/BS_backend!H3</f>
        <v>#DIV/0!</v>
      </c>
      <c r="C4" s="51" t="str">
        <f>IF(BS_inputs!H32=BS_backend!I3,"OK","NO")</f>
        <v>NO</v>
      </c>
      <c r="D4" s="52" t="e">
        <f>(BS_inputs!J32-BS_backend!L3)/BS_backend!L3</f>
        <v>#DIV/0!</v>
      </c>
      <c r="E4" s="52" t="e">
        <f>(BS_inputs!L32-BS_backend!N3)/BS_backend!N3</f>
        <v>#DIV/0!</v>
      </c>
      <c r="F4" s="51" t="e">
        <f>IF(BS_backend!S17&gt;3%,IF(BS_backend!S17&lt;5%,"OK","&gt;5%"),"&lt;3%")</f>
        <v>#DIV/0!</v>
      </c>
      <c r="G4" s="51" t="str">
        <f>IF(BS_backend!F17&lt;4,"STEEP","OK")</f>
        <v>STEEP</v>
      </c>
      <c r="H4" s="51" t="str">
        <f>IF(BS_backend!G17&lt;25,"STEEP",IF(BS_backend!G17&gt;100,"GENTLE","OK"))</f>
        <v>STEEP</v>
      </c>
      <c r="I4" s="51" t="str">
        <f>IF(BS_backend!I17&lt;90%,IF(BS_backend!J17&lt;0.25,"TOO LOW","OK"),"Check Fig")</f>
        <v>TOO LOW</v>
      </c>
      <c r="J4" s="52" t="e">
        <f>(BS_inputs!M47-BS_backend!P17)/BS_backend!P17</f>
        <v>#DIV/0!</v>
      </c>
      <c r="K4" s="51" t="e">
        <f>IF(BS_backend!P17&gt;=BS_backend!L3,"OK","NO")</f>
        <v>#DIV/0!</v>
      </c>
      <c r="L4" s="52" t="e">
        <f>(BS_inputs!E62-BS_backend!J31)/BS_backend!J31</f>
        <v>#DIV/0!</v>
      </c>
      <c r="M4" s="51" t="e">
        <f>IF(BS_backend!J31&lt;0.5,"OK","HIGH")</f>
        <v>#DIV/0!</v>
      </c>
      <c r="N4" s="52" t="e">
        <f>(BS_inputs!J62-BS_backend!S31)/BS_backend!S31</f>
        <v>#DIV/0!</v>
      </c>
      <c r="O4" s="51" t="e">
        <f>IF(BS_backend!S31&lt;=2,"OK","HIGH")</f>
        <v>#DIV/0!</v>
      </c>
      <c r="P4" s="51" t="e">
        <f>IF(BS_backend!T31&lt;=0.4,"OK","HIGH")</f>
        <v>#DIV/0!</v>
      </c>
      <c r="Q4" s="174" t="str">
        <f>IF(BS_backend!B46&gt;=0.4, IF(BS_backend!B46&lt;=0.6,"OK","&gt;0.6"),"&lt;0.4")</f>
        <v>&lt;0.4</v>
      </c>
      <c r="R4" s="174" t="str">
        <f>IF(BS_backend!E46&gt;=0.1, IF(BS_backend!E46&lt;=0.5,"OK","&gt;0.5"),"&lt;0.1")</f>
        <v>&lt;0.1</v>
      </c>
      <c r="S4" s="175" t="e">
        <f>(BS_inputs!F78-BS_backend!F46)/BS_backend!F46</f>
        <v>#DIV/0!</v>
      </c>
      <c r="T4" s="174" t="str">
        <f>IF(BS_inputs!H78=BS_backend!J46,"OK","NO")</f>
        <v>OK</v>
      </c>
      <c r="U4" s="175" t="e">
        <f>(BS_inputs!J78-BS_backend!L46)/BS_backend!L46</f>
        <v>#DIV/0!</v>
      </c>
      <c r="V4" s="51" t="e">
        <f>IF(BS_backend!L46&gt;=BS_backend!F46,"OK","NO")</f>
        <v>#DIV/0!</v>
      </c>
      <c r="W4" s="176" t="e">
        <f>(BS_inputs!Q78-BS_backend!S46)/BS_backend!S46</f>
        <v>#DIV/0!</v>
      </c>
      <c r="X4" s="51" t="e">
        <f>IF(BS_backend!S46&gt;=BS_backend!F46,"OK","NO")</f>
        <v>#DIV/0!</v>
      </c>
      <c r="Y4" s="174" t="str">
        <f>IF(BS_backend!T46&lt;=3,"OK","NO")</f>
        <v>OK</v>
      </c>
      <c r="Z4" s="175" t="e">
        <f>(BS_inputs!G94-BS_backend!G61)/BS_backend!G61</f>
        <v>#DIV/0!</v>
      </c>
      <c r="AA4" s="175" t="e">
        <f>(BS_inputs!J94-BS_backend!K61)/BS_backend!K61</f>
        <v>#DIV/0!</v>
      </c>
      <c r="AB4" s="51" t="e">
        <f>IF(BS_backend!L61&gt;=BS_backend!K61,"OK","NO")</f>
        <v>#DIV/0!</v>
      </c>
      <c r="AC4" s="51" t="str">
        <f>IF(BS_backend!O61&gt;=BS_backend!G61,"OK","NO")</f>
        <v>OK</v>
      </c>
      <c r="AD4" s="52" t="e">
        <f>(BS_inputs!J109-BS_backend!J75)/BS_backend!J75</f>
        <v>#DIV/0!</v>
      </c>
      <c r="AE4" s="52" t="e">
        <f>(BS_inputs!L109-BS_backend!L75)/BS_backend!L75</f>
        <v>#DIV/0!</v>
      </c>
      <c r="AF4" s="51" t="e">
        <f>IF(BS_backend!L75&gt;=BS_backend!L3,"OK","NO")</f>
        <v>#DIV/0!</v>
      </c>
      <c r="AG4" s="52" t="e">
        <f>(BS_inputs!N109-BS_backend!M75)/BS_backend!M75</f>
        <v>#VALUE!</v>
      </c>
      <c r="AH4" s="52" t="e">
        <f>(BS_inputs!P109-BS_backend!O75)/BS_backend!O75</f>
        <v>#VALUE!</v>
      </c>
      <c r="AI4" s="51" t="e">
        <f>IF(BS_backend!O75&gt;=BS_backend!L3,"OK","NO")</f>
        <v>#VALUE!</v>
      </c>
      <c r="AJ4" s="52" t="e">
        <f>(BS_backend!Q75-BS_backend!L3)/BS_backend!L3</f>
        <v>#DIV/0!</v>
      </c>
      <c r="AK4" s="51" t="e">
        <f>IF(BS_backend!Q75&gt;=BS_backend!L3,"OK","NO")</f>
        <v>#DIV/0!</v>
      </c>
    </row>
    <row r="5" spans="1:38" ht="15.5" x14ac:dyDescent="0.35">
      <c r="A5" s="32">
        <f>BS_inputs!A33</f>
        <v>0</v>
      </c>
      <c r="B5" s="52" t="e">
        <f>(BS_inputs!G33-BS_backend!H4)/BS_backend!H4</f>
        <v>#DIV/0!</v>
      </c>
      <c r="C5" s="51" t="str">
        <f>IF(BS_inputs!H33=BS_backend!I4,"OK","NO")</f>
        <v>NO</v>
      </c>
      <c r="D5" s="52" t="e">
        <f>(BS_inputs!J33-BS_backend!L4)/BS_backend!L4</f>
        <v>#DIV/0!</v>
      </c>
      <c r="E5" s="52" t="e">
        <f>(BS_inputs!L33-BS_backend!N4)/BS_backend!N4</f>
        <v>#DIV/0!</v>
      </c>
      <c r="F5" s="51" t="e">
        <f>IF(BS_backend!S18&gt;3%,IF(BS_backend!S18&lt;5%,"OK","CHECK"),"CHECK")</f>
        <v>#DIV/0!</v>
      </c>
      <c r="G5" s="51" t="str">
        <f>IF(BS_backend!F18&lt;4,"STEEP","OK")</f>
        <v>STEEP</v>
      </c>
      <c r="H5" s="51" t="str">
        <f>IF(BS_backend!G18&lt;25,"STEEP",IF(BS_backend!G18&gt;100,"GENTLE","OK"))</f>
        <v>STEEP</v>
      </c>
      <c r="I5" s="51" t="str">
        <f>IF(BS_backend!I18&lt;90%,IF(BS_backend!J18&lt;0.25,"TOO LOW","OK"),"Check Fig")</f>
        <v>TOO LOW</v>
      </c>
      <c r="J5" s="52" t="e">
        <f>(BS_inputs!M48-BS_backend!P18)/BS_backend!P18</f>
        <v>#DIV/0!</v>
      </c>
      <c r="K5" s="51" t="e">
        <f>IF(BS_backend!P18&gt;=BS_backend!L4,"OK","NO")</f>
        <v>#DIV/0!</v>
      </c>
      <c r="L5" s="52" t="e">
        <f>(BS_inputs!E63-BS_backend!J32)/BS_backend!J32</f>
        <v>#DIV/0!</v>
      </c>
      <c r="M5" s="51" t="e">
        <f>IF(BS_backend!J32&lt;0.5,"OK","HIGH")</f>
        <v>#DIV/0!</v>
      </c>
      <c r="N5" s="52" t="e">
        <f>(BS_inputs!J63-BS_backend!S32)/BS_backend!S32</f>
        <v>#DIV/0!</v>
      </c>
      <c r="O5" s="51" t="e">
        <f>IF(BS_backend!S32&lt;=2,"OK","HIGH")</f>
        <v>#DIV/0!</v>
      </c>
      <c r="P5" s="51" t="e">
        <f>IF(BS_backend!T32&lt;=0.4,"OK","HIGH")</f>
        <v>#DIV/0!</v>
      </c>
      <c r="Q5" s="174" t="str">
        <f>IF(BS_backend!B47&gt;=0.4, IF(BS_backend!B47&lt;=0.6,"OK","&gt;0.6"),"&lt;0.4")</f>
        <v>&lt;0.4</v>
      </c>
      <c r="R5" s="174" t="str">
        <f>IF(BS_backend!E47&gt;=0.1, IF(BS_backend!E47&lt;=0.5,"OK","&gt;0.5"),"&lt;0.1")</f>
        <v>&lt;0.1</v>
      </c>
      <c r="S5" s="175" t="e">
        <f>(BS_inputs!F79-BS_backend!F47)/BS_backend!F47</f>
        <v>#DIV/0!</v>
      </c>
      <c r="T5" s="174" t="str">
        <f>IF(BS_inputs!H79=BS_backend!J47,"OK","NO")</f>
        <v>OK</v>
      </c>
      <c r="U5" s="175" t="e">
        <f>(BS_inputs!J79-BS_backend!L47)/BS_backend!L47</f>
        <v>#DIV/0!</v>
      </c>
      <c r="V5" s="51" t="e">
        <f>IF(BS_backend!L47&gt;=BS_backend!F47,"OK","NO")</f>
        <v>#DIV/0!</v>
      </c>
      <c r="W5" s="176" t="e">
        <f>(BS_inputs!Q79-BS_backend!S47)/BS_backend!S47</f>
        <v>#DIV/0!</v>
      </c>
      <c r="X5" s="51" t="e">
        <f>IF(BS_backend!S47&gt;=BS_backend!F47,"OK","NO")</f>
        <v>#DIV/0!</v>
      </c>
      <c r="Y5" s="174" t="str">
        <f>IF(BS_backend!T47&lt;=3,"OK","NO")</f>
        <v>OK</v>
      </c>
      <c r="Z5" s="175" t="e">
        <f>(BS_inputs!G95-BS_backend!G62)/BS_backend!G62</f>
        <v>#DIV/0!</v>
      </c>
      <c r="AA5" s="175" t="e">
        <f>(BS_inputs!J95-BS_backend!K62)/BS_backend!K62</f>
        <v>#DIV/0!</v>
      </c>
      <c r="AB5" s="51" t="e">
        <f>IF(BS_backend!L62&gt;=BS_backend!K62,"OK","NO")</f>
        <v>#DIV/0!</v>
      </c>
      <c r="AC5" s="51" t="str">
        <f>IF(BS_backend!O62&gt;=BS_backend!G62,"OK","NO")</f>
        <v>OK</v>
      </c>
      <c r="AD5" s="52" t="e">
        <f>(BS_inputs!J110-BS_backend!J76)/BS_backend!J76</f>
        <v>#DIV/0!</v>
      </c>
      <c r="AE5" s="52" t="e">
        <f>(BS_inputs!L110-BS_backend!L76)/BS_backend!L76</f>
        <v>#DIV/0!</v>
      </c>
      <c r="AF5" s="51" t="e">
        <f>IF(BS_backend!L76&gt;=BS_backend!L4,"OK","NO")</f>
        <v>#DIV/0!</v>
      </c>
      <c r="AG5" s="52" t="e">
        <f>(BS_inputs!N110-BS_backend!M76)/BS_backend!M76</f>
        <v>#VALUE!</v>
      </c>
      <c r="AH5" s="52" t="e">
        <f>(BS_inputs!P110-BS_backend!O76)/BS_backend!O76</f>
        <v>#VALUE!</v>
      </c>
      <c r="AI5" s="51" t="e">
        <f>IF(BS_backend!O76&gt;=BS_backend!L4,"OK","NO")</f>
        <v>#VALUE!</v>
      </c>
      <c r="AJ5" s="52" t="e">
        <f>(BS_backend!Q76-BS_backend!L4)/BS_backend!L4</f>
        <v>#DIV/0!</v>
      </c>
      <c r="AK5" s="51" t="e">
        <f>IF(BS_backend!Q76&gt;=BS_backend!L4,"OK","NO")</f>
        <v>#DIV/0!</v>
      </c>
    </row>
    <row r="6" spans="1:38" ht="15.5" x14ac:dyDescent="0.35">
      <c r="A6" s="32">
        <f>BS_inputs!A34</f>
        <v>0</v>
      </c>
      <c r="B6" s="52" t="e">
        <f>(BS_inputs!G34-BS_backend!H5)/BS_backend!H5</f>
        <v>#DIV/0!</v>
      </c>
      <c r="C6" s="51" t="str">
        <f>IF(BS_inputs!H34=BS_backend!I5,"OK","NO")</f>
        <v>NO</v>
      </c>
      <c r="D6" s="52" t="e">
        <f>(BS_inputs!J34-BS_backend!L5)/BS_backend!L5</f>
        <v>#DIV/0!</v>
      </c>
      <c r="E6" s="52" t="e">
        <f>(BS_inputs!L34-BS_backend!N5)/BS_backend!N5</f>
        <v>#DIV/0!</v>
      </c>
      <c r="F6" s="51" t="e">
        <f>IF(BS_backend!S19&gt;3%,IF(BS_backend!S19&lt;5%,"OK","CHECK"),"CHECK")</f>
        <v>#DIV/0!</v>
      </c>
      <c r="G6" s="51" t="str">
        <f>IF(BS_backend!F19&lt;4,"STEEP","OK")</f>
        <v>STEEP</v>
      </c>
      <c r="H6" s="51" t="str">
        <f>IF(BS_backend!G19&lt;25,"STEEP",IF(BS_backend!G19&gt;100,"GENTLE","OK"))</f>
        <v>STEEP</v>
      </c>
      <c r="I6" s="51" t="str">
        <f>IF(BS_backend!I19&lt;90%,IF(BS_backend!J19&lt;0.25,"TOO LOW","OK"),"Check Fig")</f>
        <v>TOO LOW</v>
      </c>
      <c r="J6" s="52" t="e">
        <f>(BS_inputs!M49-BS_backend!P19)/BS_backend!P19</f>
        <v>#DIV/0!</v>
      </c>
      <c r="K6" s="51" t="e">
        <f>IF(BS_backend!P19&gt;=BS_backend!L5,"OK","NO")</f>
        <v>#DIV/0!</v>
      </c>
      <c r="L6" s="52" t="e">
        <f>(BS_inputs!E64-BS_backend!J33)/BS_backend!J33</f>
        <v>#DIV/0!</v>
      </c>
      <c r="M6" s="51" t="e">
        <f>IF(BS_backend!J33&lt;0.5,"OK","HIGH")</f>
        <v>#DIV/0!</v>
      </c>
      <c r="N6" s="52" t="e">
        <f>(BS_inputs!J64-BS_backend!S33)/BS_backend!S33</f>
        <v>#DIV/0!</v>
      </c>
      <c r="O6" s="51" t="e">
        <f>IF(BS_backend!S33&lt;=2,"OK","HIGH")</f>
        <v>#DIV/0!</v>
      </c>
      <c r="P6" s="51" t="e">
        <f>IF(BS_backend!T33&lt;=0.4,"OK","HIGH")</f>
        <v>#DIV/0!</v>
      </c>
      <c r="Q6" s="174" t="str">
        <f>IF(BS_backend!B48&gt;=0.4, IF(BS_backend!B48&lt;=0.6,"OK","&gt;0.6"),"&lt;0.4")</f>
        <v>&lt;0.4</v>
      </c>
      <c r="R6" s="174" t="str">
        <f>IF(BS_backend!E48&gt;=0.1, IF(BS_backend!E48&lt;=0.5,"OK","&gt;0.5"),"&lt;0.1")</f>
        <v>&lt;0.1</v>
      </c>
      <c r="S6" s="175" t="e">
        <f>(BS_inputs!F80-BS_backend!F48)/BS_backend!F48</f>
        <v>#DIV/0!</v>
      </c>
      <c r="T6" s="174" t="str">
        <f>IF(BS_inputs!H80=BS_backend!J48,"OK","NO")</f>
        <v>OK</v>
      </c>
      <c r="U6" s="175" t="e">
        <f>(BS_inputs!J80-BS_backend!L48)/BS_backend!L48</f>
        <v>#DIV/0!</v>
      </c>
      <c r="V6" s="51" t="e">
        <f>IF(BS_backend!L48&gt;=BS_backend!F48,"OK","NO")</f>
        <v>#DIV/0!</v>
      </c>
      <c r="W6" s="176" t="e">
        <f>(BS_inputs!Q80-BS_backend!S48)/BS_backend!S48</f>
        <v>#DIV/0!</v>
      </c>
      <c r="X6" s="51" t="e">
        <f>IF(BS_backend!S48&gt;=BS_backend!F48,"OK","NO")</f>
        <v>#DIV/0!</v>
      </c>
      <c r="Y6" s="174" t="str">
        <f>IF(BS_backend!T48&lt;=3,"OK","NO")</f>
        <v>OK</v>
      </c>
      <c r="Z6" s="175" t="e">
        <f>(BS_inputs!G96-BS_backend!G63)/BS_backend!G63</f>
        <v>#DIV/0!</v>
      </c>
      <c r="AA6" s="175" t="e">
        <f>(BS_inputs!J96-BS_backend!K63)/BS_backend!K63</f>
        <v>#DIV/0!</v>
      </c>
      <c r="AB6" s="51" t="e">
        <f>IF(BS_backend!L63&gt;=BS_backend!K63,"OK","NO")</f>
        <v>#DIV/0!</v>
      </c>
      <c r="AC6" s="51" t="str">
        <f>IF(BS_backend!O63&gt;=BS_backend!G63,"OK","NO")</f>
        <v>OK</v>
      </c>
      <c r="AD6" s="52" t="e">
        <f>(BS_inputs!J111-BS_backend!J77)/BS_backend!J77</f>
        <v>#DIV/0!</v>
      </c>
      <c r="AE6" s="52" t="e">
        <f>(BS_inputs!L111-BS_backend!L77)/BS_backend!L77</f>
        <v>#DIV/0!</v>
      </c>
      <c r="AF6" s="51" t="e">
        <f>IF(BS_backend!L77&gt;=BS_backend!L5,"OK","NO")</f>
        <v>#DIV/0!</v>
      </c>
      <c r="AG6" s="52" t="e">
        <f>(BS_inputs!N111-BS_backend!M77)/BS_backend!M77</f>
        <v>#VALUE!</v>
      </c>
      <c r="AH6" s="52" t="e">
        <f>(BS_inputs!P111-BS_backend!O77)/BS_backend!O77</f>
        <v>#VALUE!</v>
      </c>
      <c r="AI6" s="51" t="e">
        <f>IF(BS_backend!O77&gt;=BS_backend!L5,"OK","NO")</f>
        <v>#VALUE!</v>
      </c>
      <c r="AJ6" s="52" t="e">
        <f>(BS_backend!Q77-BS_backend!L5)/BS_backend!L5</f>
        <v>#DIV/0!</v>
      </c>
      <c r="AK6" s="51" t="e">
        <f>IF(BS_backend!Q77&gt;=BS_backend!L5,"OK","NO")</f>
        <v>#DIV/0!</v>
      </c>
    </row>
    <row r="7" spans="1:38" ht="15.5" x14ac:dyDescent="0.35">
      <c r="A7" s="32">
        <f>BS_inputs!A35</f>
        <v>0</v>
      </c>
      <c r="B7" s="52" t="e">
        <f>(BS_inputs!G35-BS_backend!H6)/BS_backend!H6</f>
        <v>#DIV/0!</v>
      </c>
      <c r="C7" s="51" t="str">
        <f>IF(BS_inputs!H35=BS_backend!I6,"OK","NO")</f>
        <v>NO</v>
      </c>
      <c r="D7" s="52" t="e">
        <f>(BS_inputs!J35-BS_backend!L6)/BS_backend!L6</f>
        <v>#DIV/0!</v>
      </c>
      <c r="E7" s="52" t="e">
        <f>(BS_inputs!L35-BS_backend!N6)/BS_backend!N6</f>
        <v>#DIV/0!</v>
      </c>
      <c r="F7" s="51" t="e">
        <f>IF(BS_backend!S20&gt;3%,IF(BS_backend!S20&lt;5%,"OK","CHECK"),"CHECK")</f>
        <v>#DIV/0!</v>
      </c>
      <c r="G7" s="51" t="str">
        <f>IF(BS_backend!F20&lt;4,"STEEP","OK")</f>
        <v>STEEP</v>
      </c>
      <c r="H7" s="51" t="str">
        <f>IF(BS_backend!G20&lt;25,"STEEP",IF(BS_backend!G20&gt;100,"GENTLE","OK"))</f>
        <v>STEEP</v>
      </c>
      <c r="I7" s="51" t="str">
        <f>IF(BS_backend!I20&lt;90%,IF(BS_backend!J20&lt;0.25,"TOO LOW","OK"),"Check Fig")</f>
        <v>TOO LOW</v>
      </c>
      <c r="J7" s="52" t="e">
        <f>(BS_inputs!M50-BS_backend!P20)/BS_backend!P20</f>
        <v>#DIV/0!</v>
      </c>
      <c r="K7" s="51" t="e">
        <f>IF(BS_backend!P20&gt;=BS_backend!L6,"OK","NO")</f>
        <v>#DIV/0!</v>
      </c>
      <c r="L7" s="52" t="e">
        <f>(BS_inputs!E65-BS_backend!J34)/BS_backend!J34</f>
        <v>#DIV/0!</v>
      </c>
      <c r="M7" s="51" t="e">
        <f>IF(BS_backend!J34&lt;0.5,"OK","HIGH")</f>
        <v>#DIV/0!</v>
      </c>
      <c r="N7" s="52" t="e">
        <f>(BS_inputs!J65-BS_backend!S34)/BS_backend!S34</f>
        <v>#DIV/0!</v>
      </c>
      <c r="O7" s="51" t="e">
        <f>IF(BS_backend!S34&lt;=2,"OK","HIGH")</f>
        <v>#DIV/0!</v>
      </c>
      <c r="P7" s="51" t="e">
        <f>IF(BS_backend!T34&lt;=0.4,"OK","HIGH")</f>
        <v>#DIV/0!</v>
      </c>
      <c r="Q7" s="174" t="str">
        <f>IF(BS_backend!B49&gt;=0.4, IF(BS_backend!B49&lt;=0.6,"OK","&gt;0.6"),"&lt;0.4")</f>
        <v>&lt;0.4</v>
      </c>
      <c r="R7" s="174" t="str">
        <f>IF(BS_backend!E49&gt;=0.1, IF(BS_backend!E49&lt;=0.5,"OK","&gt;0.5"),"&lt;0.1")</f>
        <v>&lt;0.1</v>
      </c>
      <c r="S7" s="175" t="e">
        <f>(BS_inputs!F81-BS_backend!F49)/BS_backend!F49</f>
        <v>#DIV/0!</v>
      </c>
      <c r="T7" s="174" t="str">
        <f>IF(BS_inputs!H81=BS_backend!J49,"OK","NO")</f>
        <v>OK</v>
      </c>
      <c r="U7" s="175" t="e">
        <f>(BS_inputs!J81-BS_backend!L49)/BS_backend!L49</f>
        <v>#DIV/0!</v>
      </c>
      <c r="V7" s="51" t="e">
        <f>IF(BS_backend!L49&gt;=BS_backend!F49,"OK","NO")</f>
        <v>#DIV/0!</v>
      </c>
      <c r="W7" s="176" t="e">
        <f>(BS_inputs!Q81-BS_backend!S49)/BS_backend!S49</f>
        <v>#DIV/0!</v>
      </c>
      <c r="X7" s="51" t="e">
        <f>IF(BS_backend!S49&gt;=BS_backend!F49,"OK","NO")</f>
        <v>#DIV/0!</v>
      </c>
      <c r="Y7" s="174" t="str">
        <f>IF(BS_backend!T49&lt;=3,"OK","NO")</f>
        <v>OK</v>
      </c>
      <c r="Z7" s="175" t="e">
        <f>(BS_inputs!G97-BS_backend!G64)/BS_backend!G64</f>
        <v>#DIV/0!</v>
      </c>
      <c r="AA7" s="175" t="e">
        <f>(BS_inputs!J97-BS_backend!K64)/BS_backend!K64</f>
        <v>#DIV/0!</v>
      </c>
      <c r="AB7" s="51" t="e">
        <f>IF(BS_backend!L64&gt;=BS_backend!K64,"OK","NO")</f>
        <v>#DIV/0!</v>
      </c>
      <c r="AC7" s="51" t="str">
        <f>IF(BS_backend!O64&gt;=BS_backend!G64,"OK","NO")</f>
        <v>OK</v>
      </c>
      <c r="AD7" s="52" t="e">
        <f>(BS_inputs!J112-BS_backend!J78)/BS_backend!J78</f>
        <v>#DIV/0!</v>
      </c>
      <c r="AE7" s="52" t="e">
        <f>(BS_inputs!L112-BS_backend!L78)/BS_backend!L78</f>
        <v>#DIV/0!</v>
      </c>
      <c r="AF7" s="51" t="e">
        <f>IF(BS_backend!L78&gt;=BS_backend!L6,"OK","NO")</f>
        <v>#DIV/0!</v>
      </c>
      <c r="AG7" s="52" t="e">
        <f>(BS_inputs!N112-BS_backend!M78)/BS_backend!M78</f>
        <v>#VALUE!</v>
      </c>
      <c r="AH7" s="52" t="e">
        <f>(BS_inputs!P112-BS_backend!O78)/BS_backend!O78</f>
        <v>#VALUE!</v>
      </c>
      <c r="AI7" s="51" t="e">
        <f>IF(BS_backend!O78&gt;=BS_backend!L6,"OK","NO")</f>
        <v>#VALUE!</v>
      </c>
      <c r="AJ7" s="52" t="e">
        <f>(BS_backend!Q78-BS_backend!L6)/BS_backend!L6</f>
        <v>#DIV/0!</v>
      </c>
      <c r="AK7" s="51" t="e">
        <f>IF(BS_backend!Q78&gt;=BS_backend!L6,"OK","NO")</f>
        <v>#DIV/0!</v>
      </c>
    </row>
    <row r="8" spans="1:38" ht="15.5" x14ac:dyDescent="0.35">
      <c r="A8" s="32">
        <f>BS_inputs!A36</f>
        <v>0</v>
      </c>
      <c r="B8" s="52" t="e">
        <f>(BS_inputs!G36-BS_backend!H7)/BS_backend!H7</f>
        <v>#DIV/0!</v>
      </c>
      <c r="C8" s="51" t="str">
        <f>IF(BS_inputs!H36=BS_backend!I7,"OK","NO")</f>
        <v>NO</v>
      </c>
      <c r="D8" s="52" t="e">
        <f>(BS_inputs!J36-BS_backend!L7)/BS_backend!L7</f>
        <v>#DIV/0!</v>
      </c>
      <c r="E8" s="52" t="e">
        <f>(BS_inputs!L36-BS_backend!N7)/BS_backend!N7</f>
        <v>#DIV/0!</v>
      </c>
      <c r="F8" s="51" t="e">
        <f>IF(BS_backend!S21&gt;3%,IF(BS_backend!S21&lt;5%,"OK","CHECK"),"CHECK")</f>
        <v>#DIV/0!</v>
      </c>
      <c r="G8" s="51" t="str">
        <f>IF(BS_backend!F21&lt;4,"STEEP","OK")</f>
        <v>STEEP</v>
      </c>
      <c r="H8" s="51" t="str">
        <f>IF(BS_backend!G21&lt;25,"STEEP",IF(BS_backend!G21&gt;100,"GENTLE","OK"))</f>
        <v>STEEP</v>
      </c>
      <c r="I8" s="51" t="str">
        <f>IF(BS_backend!I21&lt;90%,IF(BS_backend!J21&lt;0.25,"TOO LOW","OK"),"Check Fig")</f>
        <v>TOO LOW</v>
      </c>
      <c r="J8" s="52" t="e">
        <f>(BS_inputs!M51-BS_backend!P21)/BS_backend!P21</f>
        <v>#DIV/0!</v>
      </c>
      <c r="K8" s="51" t="e">
        <f>IF(BS_backend!P21&gt;=BS_backend!L7,"OK","NO")</f>
        <v>#DIV/0!</v>
      </c>
      <c r="L8" s="52" t="e">
        <f>(BS_inputs!E66-BS_backend!J35)/BS_backend!J35</f>
        <v>#DIV/0!</v>
      </c>
      <c r="M8" s="51" t="e">
        <f>IF(BS_backend!J35&lt;0.5,"OK","HIGH")</f>
        <v>#DIV/0!</v>
      </c>
      <c r="N8" s="52" t="e">
        <f>(BS_inputs!J66-BS_backend!S35)/BS_backend!S35</f>
        <v>#DIV/0!</v>
      </c>
      <c r="O8" s="51" t="e">
        <f>IF(BS_backend!S35&lt;=2,"OK","HIGH")</f>
        <v>#DIV/0!</v>
      </c>
      <c r="P8" s="51" t="e">
        <f>IF(BS_backend!T35&lt;=0.4,"OK","HIGH")</f>
        <v>#DIV/0!</v>
      </c>
      <c r="Q8" s="174" t="str">
        <f>IF(BS_backend!B50&gt;=0.4, IF(BS_backend!B50&lt;=0.6,"OK","&gt;0.6"),"&lt;0.4")</f>
        <v>&lt;0.4</v>
      </c>
      <c r="R8" s="174" t="str">
        <f>IF(BS_backend!E50&gt;=0.1, IF(BS_backend!E50&lt;=0.5,"OK","&gt;0.5"),"&lt;0.1")</f>
        <v>&lt;0.1</v>
      </c>
      <c r="S8" s="175" t="e">
        <f>(BS_inputs!F82-BS_backend!F50)/BS_backend!F50</f>
        <v>#DIV/0!</v>
      </c>
      <c r="T8" s="174" t="str">
        <f>IF(BS_inputs!H82=BS_backend!J50,"OK","NO")</f>
        <v>OK</v>
      </c>
      <c r="U8" s="175" t="e">
        <f>(BS_inputs!J82-BS_backend!L50)/BS_backend!L50</f>
        <v>#DIV/0!</v>
      </c>
      <c r="V8" s="51" t="e">
        <f>IF(BS_backend!L50&gt;=BS_backend!F50,"OK","NO")</f>
        <v>#DIV/0!</v>
      </c>
      <c r="W8" s="176" t="e">
        <f>(BS_inputs!Q82-BS_backend!S50)/BS_backend!S50</f>
        <v>#DIV/0!</v>
      </c>
      <c r="X8" s="51" t="e">
        <f>IF(BS_backend!S50&gt;=BS_backend!F50,"OK","NO")</f>
        <v>#DIV/0!</v>
      </c>
      <c r="Y8" s="174" t="str">
        <f>IF(BS_backend!T50&lt;=3,"OK","NO")</f>
        <v>OK</v>
      </c>
      <c r="Z8" s="175" t="e">
        <f>(BS_inputs!G98-BS_backend!G65)/BS_backend!G65</f>
        <v>#DIV/0!</v>
      </c>
      <c r="AA8" s="175" t="e">
        <f>(BS_inputs!J98-BS_backend!K65)/BS_backend!K65</f>
        <v>#DIV/0!</v>
      </c>
      <c r="AB8" s="51" t="e">
        <f>IF(BS_backend!L65&gt;=BS_backend!K65,"OK","NO")</f>
        <v>#DIV/0!</v>
      </c>
      <c r="AC8" s="51" t="str">
        <f>IF(BS_backend!O65&gt;=BS_backend!G65,"OK","NO")</f>
        <v>OK</v>
      </c>
      <c r="AD8" s="52" t="e">
        <f>(BS_inputs!J113-BS_backend!J79)/BS_backend!J79</f>
        <v>#DIV/0!</v>
      </c>
      <c r="AE8" s="52" t="e">
        <f>(BS_inputs!L113-BS_backend!L79)/BS_backend!L79</f>
        <v>#DIV/0!</v>
      </c>
      <c r="AF8" s="51" t="e">
        <f>IF(BS_backend!L79&gt;=BS_backend!L7,"OK","NO")</f>
        <v>#DIV/0!</v>
      </c>
      <c r="AG8" s="52" t="e">
        <f>(BS_inputs!N113-BS_backend!M79)/BS_backend!M79</f>
        <v>#VALUE!</v>
      </c>
      <c r="AH8" s="52" t="e">
        <f>(BS_inputs!P113-BS_backend!O79)/BS_backend!O79</f>
        <v>#VALUE!</v>
      </c>
      <c r="AI8" s="51" t="e">
        <f>IF(BS_backend!O79&gt;=BS_backend!L7,"OK","NO")</f>
        <v>#VALUE!</v>
      </c>
      <c r="AJ8" s="52" t="e">
        <f>(BS_backend!Q79-BS_backend!L7)/BS_backend!L7</f>
        <v>#DIV/0!</v>
      </c>
      <c r="AK8" s="51" t="e">
        <f>IF(BS_backend!Q79&gt;=BS_backend!L7,"OK","NO")</f>
        <v>#DIV/0!</v>
      </c>
    </row>
    <row r="9" spans="1:38" ht="15.5" x14ac:dyDescent="0.35">
      <c r="A9" s="32">
        <f>BS_inputs!A37</f>
        <v>0</v>
      </c>
      <c r="B9" s="52" t="e">
        <f>(BS_inputs!G37-BS_backend!H8)/BS_backend!H8</f>
        <v>#DIV/0!</v>
      </c>
      <c r="C9" s="51" t="str">
        <f>IF(BS_inputs!H37=BS_backend!I8,"OK","NO")</f>
        <v>NO</v>
      </c>
      <c r="D9" s="52" t="e">
        <f>(BS_inputs!J37-BS_backend!L8)/BS_backend!L8</f>
        <v>#DIV/0!</v>
      </c>
      <c r="E9" s="52" t="e">
        <f>(BS_inputs!L37-BS_backend!N8)/BS_backend!N8</f>
        <v>#DIV/0!</v>
      </c>
      <c r="F9" s="51" t="e">
        <f>IF(BS_backend!S22&gt;3%,IF(BS_backend!S22&lt;5%,"OK","CHECK"),"CHECK")</f>
        <v>#DIV/0!</v>
      </c>
      <c r="G9" s="51" t="str">
        <f>IF(BS_backend!F22&lt;4,"STEEP","OK")</f>
        <v>STEEP</v>
      </c>
      <c r="H9" s="51" t="str">
        <f>IF(BS_backend!G22&lt;25,"STEEP",IF(BS_backend!G22&gt;100,"GENTLE","OK"))</f>
        <v>STEEP</v>
      </c>
      <c r="I9" s="51" t="str">
        <f>IF(BS_backend!I22&lt;90%,IF(BS_backend!J22&lt;0.25,"TOO LOW","OK"),"Check Fig")</f>
        <v>TOO LOW</v>
      </c>
      <c r="J9" s="52" t="e">
        <f>(BS_inputs!M52-BS_backend!P22)/BS_backend!P22</f>
        <v>#DIV/0!</v>
      </c>
      <c r="K9" s="51" t="e">
        <f>IF(BS_backend!P22&gt;=BS_backend!L8,"OK","NO")</f>
        <v>#DIV/0!</v>
      </c>
      <c r="L9" s="52" t="e">
        <f>(BS_inputs!E67-BS_backend!J36)/BS_backend!J36</f>
        <v>#DIV/0!</v>
      </c>
      <c r="M9" s="51" t="e">
        <f>IF(BS_backend!J36&lt;0.5,"OK","HIGH")</f>
        <v>#DIV/0!</v>
      </c>
      <c r="N9" s="52" t="e">
        <f>(BS_inputs!J67-BS_backend!S36)/BS_backend!S36</f>
        <v>#DIV/0!</v>
      </c>
      <c r="O9" s="51" t="e">
        <f>IF(BS_backend!S36&lt;=2,"OK","HIGH")</f>
        <v>#DIV/0!</v>
      </c>
      <c r="P9" s="51" t="e">
        <f>IF(BS_backend!T36&lt;=0.4,"OK","HIGH")</f>
        <v>#DIV/0!</v>
      </c>
      <c r="Q9" s="174" t="str">
        <f>IF(BS_backend!B51&gt;=0.4, IF(BS_backend!B51&lt;=0.6,"OK","&gt;0.6"),"&lt;0.4")</f>
        <v>&lt;0.4</v>
      </c>
      <c r="R9" s="174" t="str">
        <f>IF(BS_backend!E51&gt;=0.1, IF(BS_backend!E51&lt;=0.5,"OK","&gt;0.5"),"&lt;0.1")</f>
        <v>&lt;0.1</v>
      </c>
      <c r="S9" s="175" t="e">
        <f>(BS_inputs!F83-BS_backend!F51)/BS_backend!F51</f>
        <v>#DIV/0!</v>
      </c>
      <c r="T9" s="174" t="str">
        <f>IF(BS_inputs!H83=BS_backend!J51,"OK","NO")</f>
        <v>OK</v>
      </c>
      <c r="U9" s="175" t="e">
        <f>(BS_inputs!J83-BS_backend!L51)/BS_backend!L51</f>
        <v>#DIV/0!</v>
      </c>
      <c r="V9" s="51" t="e">
        <f>IF(BS_backend!L51&gt;=BS_backend!F51,"OK","NO")</f>
        <v>#DIV/0!</v>
      </c>
      <c r="W9" s="176" t="e">
        <f>(BS_inputs!Q83-BS_backend!S51)/BS_backend!S51</f>
        <v>#DIV/0!</v>
      </c>
      <c r="X9" s="51" t="e">
        <f>IF(BS_backend!S51&gt;=BS_backend!F51,"OK","NO")</f>
        <v>#DIV/0!</v>
      </c>
      <c r="Y9" s="174" t="str">
        <f>IF(BS_backend!T51&lt;=3,"OK","NO")</f>
        <v>OK</v>
      </c>
      <c r="Z9" s="175" t="e">
        <f>(BS_inputs!G99-BS_backend!G66)/BS_backend!G66</f>
        <v>#DIV/0!</v>
      </c>
      <c r="AA9" s="175" t="e">
        <f>(BS_inputs!J99-BS_backend!K66)/BS_backend!K66</f>
        <v>#DIV/0!</v>
      </c>
      <c r="AB9" s="51" t="e">
        <f>IF(BS_backend!L66&gt;=BS_backend!K66,"OK","NO")</f>
        <v>#DIV/0!</v>
      </c>
      <c r="AC9" s="51" t="str">
        <f>IF(BS_backend!O66&gt;=BS_backend!G66,"OK","NO")</f>
        <v>OK</v>
      </c>
      <c r="AD9" s="52" t="e">
        <f>(BS_inputs!J114-BS_backend!J80)/BS_backend!J80</f>
        <v>#DIV/0!</v>
      </c>
      <c r="AE9" s="52" t="e">
        <f>(BS_inputs!L114-BS_backend!L80)/BS_backend!L80</f>
        <v>#DIV/0!</v>
      </c>
      <c r="AF9" s="51" t="e">
        <f>IF(BS_backend!L80&gt;=BS_backend!L8,"OK","NO")</f>
        <v>#DIV/0!</v>
      </c>
      <c r="AG9" s="52" t="e">
        <f>(BS_inputs!N114-BS_backend!M80)/BS_backend!M80</f>
        <v>#VALUE!</v>
      </c>
      <c r="AH9" s="52" t="e">
        <f>(BS_inputs!P114-BS_backend!O80)/BS_backend!O80</f>
        <v>#VALUE!</v>
      </c>
      <c r="AI9" s="51" t="e">
        <f>IF(BS_backend!O80&gt;=BS_backend!L8,"OK","NO")</f>
        <v>#VALUE!</v>
      </c>
      <c r="AJ9" s="52" t="e">
        <f>(BS_backend!Q80-BS_backend!L8)/BS_backend!L8</f>
        <v>#DIV/0!</v>
      </c>
      <c r="AK9" s="51" t="e">
        <f>IF(BS_backend!Q80&gt;=BS_backend!L8,"OK","NO")</f>
        <v>#DIV/0!</v>
      </c>
    </row>
    <row r="10" spans="1:38" ht="15.5" x14ac:dyDescent="0.35">
      <c r="A10" s="32">
        <f>BS_inputs!A38</f>
        <v>0</v>
      </c>
      <c r="B10" s="52" t="e">
        <f>(BS_inputs!G38-BS_backend!H9)/BS_backend!H9</f>
        <v>#DIV/0!</v>
      </c>
      <c r="C10" s="51" t="str">
        <f>IF(BS_inputs!H38=BS_backend!I9,"OK","NO")</f>
        <v>NO</v>
      </c>
      <c r="D10" s="52" t="e">
        <f>(BS_inputs!J38-BS_backend!L9)/BS_backend!L9</f>
        <v>#DIV/0!</v>
      </c>
      <c r="E10" s="52" t="e">
        <f>(BS_inputs!L38-BS_backend!N9)/BS_backend!N9</f>
        <v>#DIV/0!</v>
      </c>
      <c r="F10" s="51" t="e">
        <f>IF(BS_backend!S23&gt;3%,IF(BS_backend!S23&lt;5%,"OK","CHECK"),"CHECK")</f>
        <v>#DIV/0!</v>
      </c>
      <c r="G10" s="51" t="str">
        <f>IF(BS_backend!F23&lt;4,"STEEP","OK")</f>
        <v>STEEP</v>
      </c>
      <c r="H10" s="51" t="str">
        <f>IF(BS_backend!G23&lt;25,"STEEP",IF(BS_backend!G23&gt;100,"GENTLE","OK"))</f>
        <v>STEEP</v>
      </c>
      <c r="I10" s="51" t="str">
        <f>IF(BS_backend!I23&lt;90%,IF(BS_backend!J23&lt;0.25,"TOO LOW","OK"),"Check Fig")</f>
        <v>TOO LOW</v>
      </c>
      <c r="J10" s="52" t="e">
        <f>(BS_inputs!M53-BS_backend!P23)/BS_backend!P23</f>
        <v>#DIV/0!</v>
      </c>
      <c r="K10" s="51" t="e">
        <f>IF(BS_backend!P23&gt;=BS_backend!L9,"OK","NO")</f>
        <v>#DIV/0!</v>
      </c>
      <c r="L10" s="52" t="e">
        <f>(BS_inputs!E68-BS_backend!J37)/BS_backend!J37</f>
        <v>#DIV/0!</v>
      </c>
      <c r="M10" s="51" t="e">
        <f>IF(BS_backend!J37&lt;0.5,"OK","HIGH")</f>
        <v>#DIV/0!</v>
      </c>
      <c r="N10" s="52" t="e">
        <f>(BS_inputs!J68-BS_backend!S37)/BS_backend!S37</f>
        <v>#DIV/0!</v>
      </c>
      <c r="O10" s="51" t="e">
        <f>IF(BS_backend!S37&lt;=2,"OK","HIGH")</f>
        <v>#DIV/0!</v>
      </c>
      <c r="P10" s="51" t="e">
        <f>IF(BS_backend!T37&lt;=0.4,"OK","HIGH")</f>
        <v>#DIV/0!</v>
      </c>
      <c r="Q10" s="174" t="str">
        <f>IF(BS_backend!B52&gt;=0.4, IF(BS_backend!B52&lt;=0.6,"OK","&gt;0.6"),"&lt;0.4")</f>
        <v>&lt;0.4</v>
      </c>
      <c r="R10" s="174" t="str">
        <f>IF(BS_backend!E52&gt;=0.1, IF(BS_backend!E52&lt;=0.5,"OK","&gt;0.5"),"&lt;0.1")</f>
        <v>&lt;0.1</v>
      </c>
      <c r="S10" s="175" t="e">
        <f>(BS_inputs!F84-BS_backend!F52)/BS_backend!F52</f>
        <v>#DIV/0!</v>
      </c>
      <c r="T10" s="174" t="str">
        <f>IF(BS_inputs!H84=BS_backend!J52,"OK","NO")</f>
        <v>OK</v>
      </c>
      <c r="U10" s="175" t="e">
        <f>(BS_inputs!J84-BS_backend!L52)/BS_backend!L52</f>
        <v>#DIV/0!</v>
      </c>
      <c r="V10" s="51" t="e">
        <f>IF(BS_backend!L52&gt;=BS_backend!F52,"OK","NO")</f>
        <v>#DIV/0!</v>
      </c>
      <c r="W10" s="176" t="e">
        <f>(BS_inputs!Q84-BS_backend!S52)/BS_backend!S52</f>
        <v>#DIV/0!</v>
      </c>
      <c r="X10" s="51" t="e">
        <f>IF(BS_backend!S52&gt;=BS_backend!F52,"OK","NO")</f>
        <v>#DIV/0!</v>
      </c>
      <c r="Y10" s="174" t="str">
        <f>IF(BS_backend!T52&lt;=3,"OK","NO")</f>
        <v>OK</v>
      </c>
      <c r="Z10" s="175" t="e">
        <f>(BS_inputs!G100-BS_backend!G67)/BS_backend!G67</f>
        <v>#DIV/0!</v>
      </c>
      <c r="AA10" s="175" t="e">
        <f>(BS_inputs!J100-BS_backend!K67)/BS_backend!K67</f>
        <v>#DIV/0!</v>
      </c>
      <c r="AB10" s="51" t="e">
        <f>IF(BS_backend!L67&gt;=BS_backend!K67,"OK","NO")</f>
        <v>#DIV/0!</v>
      </c>
      <c r="AC10" s="51" t="str">
        <f>IF(BS_backend!O67&gt;=BS_backend!G67,"OK","NO")</f>
        <v>OK</v>
      </c>
      <c r="AD10" s="52" t="e">
        <f>(BS_inputs!J115-BS_backend!J81)/BS_backend!J81</f>
        <v>#DIV/0!</v>
      </c>
      <c r="AE10" s="52" t="e">
        <f>(BS_inputs!L115-BS_backend!L81)/BS_backend!L81</f>
        <v>#DIV/0!</v>
      </c>
      <c r="AF10" s="51" t="e">
        <f>IF(BS_backend!L81&gt;=BS_backend!L9,"OK","NO")</f>
        <v>#DIV/0!</v>
      </c>
      <c r="AG10" s="52" t="e">
        <f>(BS_inputs!N115-BS_backend!M81)/BS_backend!M81</f>
        <v>#VALUE!</v>
      </c>
      <c r="AH10" s="52" t="e">
        <f>(BS_inputs!P115-BS_backend!O81)/BS_backend!O81</f>
        <v>#VALUE!</v>
      </c>
      <c r="AI10" s="51" t="e">
        <f>IF(BS_backend!O81&gt;=BS_backend!L9,"OK","NO")</f>
        <v>#VALUE!</v>
      </c>
      <c r="AJ10" s="52" t="e">
        <f>(BS_backend!Q81-BS_backend!L9)/BS_backend!L9</f>
        <v>#DIV/0!</v>
      </c>
      <c r="AK10" s="51" t="e">
        <f>IF(BS_backend!Q81&gt;=BS_backend!L9,"OK","NO")</f>
        <v>#DIV/0!</v>
      </c>
    </row>
    <row r="11" spans="1:38" ht="15.5" x14ac:dyDescent="0.35">
      <c r="A11" s="32">
        <f>BS_inputs!A39</f>
        <v>0</v>
      </c>
      <c r="B11" s="52" t="e">
        <f>(BS_inputs!G39-BS_backend!H10)/BS_backend!H10</f>
        <v>#DIV/0!</v>
      </c>
      <c r="C11" s="51" t="str">
        <f>IF(BS_inputs!H39=BS_backend!I10,"OK","NO")</f>
        <v>NO</v>
      </c>
      <c r="D11" s="52" t="e">
        <f>(BS_inputs!J39-BS_backend!L10)/BS_backend!L10</f>
        <v>#DIV/0!</v>
      </c>
      <c r="E11" s="52" t="e">
        <f>(BS_inputs!L39-BS_backend!N10)/BS_backend!N10</f>
        <v>#DIV/0!</v>
      </c>
      <c r="F11" s="51" t="e">
        <f>IF(BS_backend!S24&gt;3%,IF(BS_backend!S24&lt;5%,"OK","CHECK"),"CHECK")</f>
        <v>#DIV/0!</v>
      </c>
      <c r="G11" s="51" t="str">
        <f>IF(BS_backend!F24&lt;4,"STEEP","OK")</f>
        <v>STEEP</v>
      </c>
      <c r="H11" s="51" t="str">
        <f>IF(BS_backend!G24&lt;25,"STEEP",IF(BS_backend!G24&gt;100,"GENTLE","OK"))</f>
        <v>STEEP</v>
      </c>
      <c r="I11" s="51" t="str">
        <f>IF(BS_backend!I24&lt;90%,IF(BS_backend!J24&lt;0.25,"TOO LOW","OK"),"Check Fig")</f>
        <v>TOO LOW</v>
      </c>
      <c r="J11" s="52" t="e">
        <f>(BS_inputs!M54-BS_backend!P24)/BS_backend!P24</f>
        <v>#DIV/0!</v>
      </c>
      <c r="K11" s="51" t="e">
        <f>IF(BS_backend!P24&gt;=BS_backend!L10,"OK","NO")</f>
        <v>#DIV/0!</v>
      </c>
      <c r="L11" s="52" t="e">
        <f>(BS_inputs!E69-BS_backend!J38)/BS_backend!J38</f>
        <v>#DIV/0!</v>
      </c>
      <c r="M11" s="51" t="e">
        <f>IF(BS_backend!J38&lt;0.5,"OK","HIGH")</f>
        <v>#DIV/0!</v>
      </c>
      <c r="N11" s="52" t="e">
        <f>(BS_inputs!J69-BS_backend!S38)/BS_backend!S38</f>
        <v>#DIV/0!</v>
      </c>
      <c r="O11" s="51" t="e">
        <f>IF(BS_backend!S38&lt;=2,"OK","HIGH")</f>
        <v>#DIV/0!</v>
      </c>
      <c r="P11" s="51" t="e">
        <f>IF(BS_backend!T38&lt;=0.4,"OK","HIGH")</f>
        <v>#DIV/0!</v>
      </c>
      <c r="Q11" s="174" t="str">
        <f>IF(BS_backend!B53&gt;=0.4, IF(BS_backend!B53&lt;=0.6,"OK","&gt;0.6"),"&lt;0.4")</f>
        <v>&lt;0.4</v>
      </c>
      <c r="R11" s="174" t="str">
        <f>IF(BS_backend!E53&gt;=0.1, IF(BS_backend!E53&lt;=0.5,"OK","&gt;0.5"),"&lt;0.1")</f>
        <v>&lt;0.1</v>
      </c>
      <c r="S11" s="175" t="e">
        <f>(BS_inputs!F85-BS_backend!F53)/BS_backend!F53</f>
        <v>#DIV/0!</v>
      </c>
      <c r="T11" s="174" t="str">
        <f>IF(BS_inputs!H85=BS_backend!J53,"OK","NO")</f>
        <v>OK</v>
      </c>
      <c r="U11" s="175" t="e">
        <f>(BS_inputs!J85-BS_backend!L53)/BS_backend!L53</f>
        <v>#DIV/0!</v>
      </c>
      <c r="V11" s="51" t="e">
        <f>IF(BS_backend!L53&gt;=BS_backend!F53,"OK","NO")</f>
        <v>#DIV/0!</v>
      </c>
      <c r="W11" s="176" t="e">
        <f>(BS_inputs!Q85-BS_backend!S53)/BS_backend!S53</f>
        <v>#DIV/0!</v>
      </c>
      <c r="X11" s="51" t="e">
        <f>IF(BS_backend!S53&gt;=BS_backend!F53,"OK","NO")</f>
        <v>#DIV/0!</v>
      </c>
      <c r="Y11" s="174" t="str">
        <f>IF(BS_backend!T53&lt;=3,"OK","NO")</f>
        <v>OK</v>
      </c>
      <c r="Z11" s="175" t="e">
        <f>(BS_inputs!G101-BS_backend!G68)/BS_backend!G68</f>
        <v>#DIV/0!</v>
      </c>
      <c r="AA11" s="175" t="e">
        <f>(BS_inputs!J101-BS_backend!K68)/BS_backend!K68</f>
        <v>#DIV/0!</v>
      </c>
      <c r="AB11" s="51" t="e">
        <f>IF(BS_backend!L68&gt;=BS_backend!K68,"OK","NO")</f>
        <v>#DIV/0!</v>
      </c>
      <c r="AC11" s="51" t="str">
        <f>IF(BS_backend!O68&gt;=BS_backend!G68,"OK","NO")</f>
        <v>OK</v>
      </c>
      <c r="AD11" s="52" t="e">
        <f>(BS_inputs!J116-BS_backend!J82)/BS_backend!J82</f>
        <v>#DIV/0!</v>
      </c>
      <c r="AE11" s="52" t="e">
        <f>(BS_inputs!L116-BS_backend!L82)/BS_backend!L82</f>
        <v>#DIV/0!</v>
      </c>
      <c r="AF11" s="51" t="e">
        <f>IF(BS_backend!L82&gt;=BS_backend!L10,"OK","NO")</f>
        <v>#DIV/0!</v>
      </c>
      <c r="AG11" s="52" t="e">
        <f>(BS_inputs!N116-BS_backend!M82)/BS_backend!M82</f>
        <v>#VALUE!</v>
      </c>
      <c r="AH11" s="52" t="e">
        <f>(BS_inputs!P116-BS_backend!O82)/BS_backend!O82</f>
        <v>#VALUE!</v>
      </c>
      <c r="AI11" s="51" t="e">
        <f>IF(BS_backend!O82&gt;=BS_backend!L10,"OK","NO")</f>
        <v>#VALUE!</v>
      </c>
      <c r="AJ11" s="52" t="e">
        <f>(BS_backend!Q82-BS_backend!L10)/BS_backend!L10</f>
        <v>#DIV/0!</v>
      </c>
      <c r="AK11" s="51" t="e">
        <f>IF(BS_backend!Q82&gt;=BS_backend!L10,"OK","NO")</f>
        <v>#DIV/0!</v>
      </c>
    </row>
    <row r="12" spans="1:38" ht="15.5" x14ac:dyDescent="0.35">
      <c r="A12" s="32">
        <f>BS_inputs!A40</f>
        <v>0</v>
      </c>
      <c r="B12" s="52" t="e">
        <f>(BS_inputs!G40-BS_backend!H11)/BS_backend!H11</f>
        <v>#DIV/0!</v>
      </c>
      <c r="C12" s="51" t="str">
        <f>IF(BS_inputs!H40=BS_backend!I11,"OK","NO")</f>
        <v>NO</v>
      </c>
      <c r="D12" s="52" t="e">
        <f>(BS_inputs!J40-BS_backend!L11)/BS_backend!L11</f>
        <v>#DIV/0!</v>
      </c>
      <c r="E12" s="52" t="e">
        <f>(BS_inputs!L40-BS_backend!N11)/BS_backend!N11</f>
        <v>#DIV/0!</v>
      </c>
      <c r="F12" s="51" t="e">
        <f>IF(BS_backend!S25&gt;3%,IF(BS_backend!S25&lt;5%,"OK","CHECK"),"CHECK")</f>
        <v>#DIV/0!</v>
      </c>
      <c r="G12" s="51" t="str">
        <f>IF(BS_backend!F25&lt;4,"STEEP","OK")</f>
        <v>STEEP</v>
      </c>
      <c r="H12" s="51" t="str">
        <f>IF(BS_backend!G25&lt;25,"STEEP",IF(BS_backend!G25&gt;100,"GENTLE","OK"))</f>
        <v>STEEP</v>
      </c>
      <c r="I12" s="51" t="str">
        <f>IF(BS_backend!I25&lt;90%,IF(BS_backend!J25&lt;0.25,"TOO LOW","OK"),"Check Fig")</f>
        <v>TOO LOW</v>
      </c>
      <c r="J12" s="52" t="e">
        <f>(BS_inputs!M55-BS_backend!P25)/BS_backend!P25</f>
        <v>#DIV/0!</v>
      </c>
      <c r="K12" s="51" t="e">
        <f>IF(BS_backend!P25&gt;=BS_backend!L11,"OK","NO")</f>
        <v>#DIV/0!</v>
      </c>
      <c r="L12" s="52" t="e">
        <f>(BS_inputs!E70-BS_backend!J39)/BS_backend!J39</f>
        <v>#DIV/0!</v>
      </c>
      <c r="M12" s="51" t="e">
        <f>IF(BS_backend!J39&lt;0.5,"OK","HIGH")</f>
        <v>#DIV/0!</v>
      </c>
      <c r="N12" s="52" t="e">
        <f>(BS_inputs!J70-BS_backend!S39)/BS_backend!S39</f>
        <v>#DIV/0!</v>
      </c>
      <c r="O12" s="51" t="e">
        <f>IF(BS_backend!S39&lt;=2,"OK","HIGH")</f>
        <v>#DIV/0!</v>
      </c>
      <c r="P12" s="51" t="e">
        <f>IF(BS_backend!T39&lt;=0.4,"OK","HIGH")</f>
        <v>#DIV/0!</v>
      </c>
      <c r="Q12" s="174" t="str">
        <f>IF(BS_backend!B54&gt;=0.4, IF(BS_backend!B54&lt;=0.6,"OK","&gt;0.6"),"&lt;0.4")</f>
        <v>&lt;0.4</v>
      </c>
      <c r="R12" s="174" t="str">
        <f>IF(BS_backend!E54&gt;=0.1, IF(BS_backend!E54&lt;=0.5,"OK","&gt;0.5"),"&lt;0.1")</f>
        <v>&lt;0.1</v>
      </c>
      <c r="S12" s="175" t="e">
        <f>(BS_inputs!F86-BS_backend!F54)/BS_backend!F54</f>
        <v>#DIV/0!</v>
      </c>
      <c r="T12" s="174" t="str">
        <f>IF(BS_inputs!H86=BS_backend!J54,"OK","NO")</f>
        <v>OK</v>
      </c>
      <c r="U12" s="175" t="e">
        <f>(BS_inputs!J86-BS_backend!L54)/BS_backend!L54</f>
        <v>#DIV/0!</v>
      </c>
      <c r="V12" s="51" t="e">
        <f>IF(BS_backend!L54&gt;=BS_backend!F54,"OK","NO")</f>
        <v>#DIV/0!</v>
      </c>
      <c r="W12" s="176" t="e">
        <f>(BS_inputs!Q86-BS_backend!S54)/BS_backend!S54</f>
        <v>#DIV/0!</v>
      </c>
      <c r="X12" s="51" t="e">
        <f>IF(BS_backend!S54&gt;=BS_backend!F54,"OK","NO")</f>
        <v>#DIV/0!</v>
      </c>
      <c r="Y12" s="174" t="str">
        <f>IF(BS_backend!T54&lt;=3,"OK","NO")</f>
        <v>OK</v>
      </c>
      <c r="Z12" s="175" t="e">
        <f>(BS_inputs!G102-BS_backend!G69)/BS_backend!G69</f>
        <v>#DIV/0!</v>
      </c>
      <c r="AA12" s="175" t="e">
        <f>(BS_inputs!J102-BS_backend!K69)/BS_backend!K69</f>
        <v>#DIV/0!</v>
      </c>
      <c r="AB12" s="51" t="e">
        <f>IF(BS_backend!L69&gt;=BS_backend!K69,"OK","NO")</f>
        <v>#DIV/0!</v>
      </c>
      <c r="AC12" s="51" t="str">
        <f>IF(BS_backend!O69&gt;=BS_backend!G69,"OK","NO")</f>
        <v>OK</v>
      </c>
      <c r="AD12" s="52" t="e">
        <f>(BS_inputs!J117-BS_backend!J83)/BS_backend!J83</f>
        <v>#DIV/0!</v>
      </c>
      <c r="AE12" s="52" t="e">
        <f>(BS_inputs!L117-BS_backend!L83)/BS_backend!L83</f>
        <v>#DIV/0!</v>
      </c>
      <c r="AF12" s="51" t="e">
        <f>IF(BS_backend!L83&gt;=BS_backend!L11,"OK","NO")</f>
        <v>#DIV/0!</v>
      </c>
      <c r="AG12" s="52" t="e">
        <f>(BS_inputs!N117-BS_backend!M83)/BS_backend!M83</f>
        <v>#VALUE!</v>
      </c>
      <c r="AH12" s="52" t="e">
        <f>(BS_inputs!P117-BS_backend!O83)/BS_backend!O83</f>
        <v>#VALUE!</v>
      </c>
      <c r="AI12" s="51" t="e">
        <f>IF(BS_backend!O83&gt;=BS_backend!L11,"OK","NO")</f>
        <v>#VALUE!</v>
      </c>
      <c r="AJ12" s="52" t="e">
        <f>(BS_backend!Q83-BS_backend!L11)/BS_backend!L11</f>
        <v>#DIV/0!</v>
      </c>
      <c r="AK12" s="51" t="e">
        <f>IF(BS_backend!Q83&gt;=BS_backend!L11,"OK","NO")</f>
        <v>#DIV/0!</v>
      </c>
    </row>
    <row r="13" spans="1:38" ht="15.5" x14ac:dyDescent="0.35">
      <c r="A13" s="32">
        <f>BS_inputs!A41</f>
        <v>0</v>
      </c>
      <c r="B13" s="52" t="e">
        <f>(BS_inputs!G41-BS_backend!H12)/BS_backend!H12</f>
        <v>#DIV/0!</v>
      </c>
      <c r="C13" s="51" t="str">
        <f>IF(BS_inputs!H41=BS_backend!I12,"OK","NO")</f>
        <v>NO</v>
      </c>
      <c r="D13" s="52" t="e">
        <f>(BS_inputs!J41-BS_backend!L12)/BS_backend!L12</f>
        <v>#DIV/0!</v>
      </c>
      <c r="E13" s="52" t="e">
        <f>(BS_inputs!L41-BS_backend!N12)/BS_backend!N12</f>
        <v>#DIV/0!</v>
      </c>
      <c r="F13" s="51" t="e">
        <f>IF(BS_backend!S26&gt;3%,IF(BS_backend!S26&lt;5%,"OK","CHECK"),"CHECK")</f>
        <v>#DIV/0!</v>
      </c>
      <c r="G13" s="51" t="str">
        <f>IF(BS_backend!F26&lt;4,"STEEP","OK")</f>
        <v>STEEP</v>
      </c>
      <c r="H13" s="51" t="str">
        <f>IF(BS_backend!G26&lt;25,"STEEP",IF(BS_backend!G26&gt;100,"GENTLE","OK"))</f>
        <v>STEEP</v>
      </c>
      <c r="I13" s="51" t="str">
        <f>IF(BS_backend!I26&lt;90%,IF(BS_backend!J26&lt;0.25,"TOO LOW","OK"),"Check Fig")</f>
        <v>TOO LOW</v>
      </c>
      <c r="J13" s="52" t="e">
        <f>(BS_inputs!M56-BS_backend!P26)/BS_backend!P26</f>
        <v>#DIV/0!</v>
      </c>
      <c r="K13" s="51" t="e">
        <f>IF(BS_backend!P26&gt;=BS_backend!L12,"OK","NO")</f>
        <v>#DIV/0!</v>
      </c>
      <c r="L13" s="52" t="e">
        <f>(BS_inputs!E71-BS_backend!J40)/BS_backend!J40</f>
        <v>#DIV/0!</v>
      </c>
      <c r="M13" s="51" t="e">
        <f>IF(BS_backend!J40&lt;0.5,"OK","HIGH")</f>
        <v>#DIV/0!</v>
      </c>
      <c r="N13" s="52" t="e">
        <f>(BS_inputs!J71-BS_backend!S40)/BS_backend!S40</f>
        <v>#DIV/0!</v>
      </c>
      <c r="O13" s="51" t="e">
        <f>IF(BS_backend!S40&lt;=2,"OK","HIGH")</f>
        <v>#DIV/0!</v>
      </c>
      <c r="P13" s="51" t="e">
        <f>IF(BS_backend!T40&lt;=0.4,"OK","HIGH")</f>
        <v>#DIV/0!</v>
      </c>
      <c r="Q13" s="174" t="str">
        <f>IF(BS_backend!B55&gt;=0.4, IF(BS_backend!B55&lt;=0.6,"OK","&gt;0.6"),"&lt;0.4")</f>
        <v>&lt;0.4</v>
      </c>
      <c r="R13" s="174" t="str">
        <f>IF(BS_backend!E55&gt;=0.1, IF(BS_backend!E55&lt;=0.5,"OK","&gt;0.5"),"&lt;0.1")</f>
        <v>&lt;0.1</v>
      </c>
      <c r="S13" s="175" t="e">
        <f>(BS_inputs!F87-BS_backend!F55)/BS_backend!F55</f>
        <v>#DIV/0!</v>
      </c>
      <c r="T13" s="174" t="str">
        <f>IF(BS_inputs!H87=BS_backend!J55,"OK","NO")</f>
        <v>OK</v>
      </c>
      <c r="U13" s="175" t="e">
        <f>(BS_inputs!J87-BS_backend!L55)/BS_backend!L55</f>
        <v>#DIV/0!</v>
      </c>
      <c r="V13" s="51" t="e">
        <f>IF(BS_backend!L55&gt;=BS_backend!F55,"OK","NO")</f>
        <v>#DIV/0!</v>
      </c>
      <c r="W13" s="176" t="e">
        <f>(BS_inputs!Q87-BS_backend!S55)/BS_backend!S55</f>
        <v>#DIV/0!</v>
      </c>
      <c r="X13" s="51" t="e">
        <f>IF(BS_backend!S55&gt;=BS_backend!F55,"OK","NO")</f>
        <v>#DIV/0!</v>
      </c>
      <c r="Y13" s="174" t="str">
        <f>IF(BS_backend!T55&lt;=3,"OK","NO")</f>
        <v>OK</v>
      </c>
      <c r="Z13" s="175" t="e">
        <f>(BS_inputs!G103-BS_backend!G70)/BS_backend!G70</f>
        <v>#DIV/0!</v>
      </c>
      <c r="AA13" s="175" t="e">
        <f>(BS_inputs!J103-BS_backend!K70)/BS_backend!K70</f>
        <v>#DIV/0!</v>
      </c>
      <c r="AB13" s="51" t="e">
        <f>IF(BS_backend!L70&gt;=BS_backend!K70,"OK","NO")</f>
        <v>#DIV/0!</v>
      </c>
      <c r="AC13" s="51" t="str">
        <f>IF(BS_backend!O70&gt;=BS_backend!G70,"OK","NO")</f>
        <v>OK</v>
      </c>
      <c r="AD13" s="52" t="e">
        <f>(BS_inputs!J118-BS_backend!J84)/BS_backend!J84</f>
        <v>#DIV/0!</v>
      </c>
      <c r="AE13" s="52" t="e">
        <f>(BS_inputs!L118-BS_backend!L84)/BS_backend!L84</f>
        <v>#DIV/0!</v>
      </c>
      <c r="AF13" s="51" t="e">
        <f>IF(BS_backend!L84&gt;=BS_backend!L12,"OK","NO")</f>
        <v>#DIV/0!</v>
      </c>
      <c r="AG13" s="52" t="e">
        <f>(BS_inputs!N118-BS_backend!M84)/BS_backend!M84</f>
        <v>#VALUE!</v>
      </c>
      <c r="AH13" s="52" t="e">
        <f>(BS_inputs!P118-BS_backend!O84)/BS_backend!O84</f>
        <v>#VALUE!</v>
      </c>
      <c r="AI13" s="51" t="e">
        <f>IF(BS_backend!O84&gt;=BS_backend!L12,"OK","NO")</f>
        <v>#VALUE!</v>
      </c>
      <c r="AJ13" s="52" t="e">
        <f>(BS_backend!Q84-BS_backend!L12)/BS_backend!L12</f>
        <v>#DIV/0!</v>
      </c>
      <c r="AK13" s="51" t="e">
        <f>IF(BS_backend!Q84&gt;=BS_backend!L12,"OK","NO")</f>
        <v>#DIV/0!</v>
      </c>
    </row>
    <row r="14" spans="1:38" x14ac:dyDescent="0.35">
      <c r="J14" s="85" t="s">
        <v>153</v>
      </c>
    </row>
  </sheetData>
  <mergeCells count="15">
    <mergeCell ref="AJ2:AK2"/>
    <mergeCell ref="AE2:AF2"/>
    <mergeCell ref="AH2:AI2"/>
    <mergeCell ref="G1:K1"/>
    <mergeCell ref="AG1:AI1"/>
    <mergeCell ref="L1:P1"/>
    <mergeCell ref="AD1:AF1"/>
    <mergeCell ref="Q1:S1"/>
    <mergeCell ref="T1:Y1"/>
    <mergeCell ref="Z1:AC1"/>
    <mergeCell ref="A2:A3"/>
    <mergeCell ref="L2:M2"/>
    <mergeCell ref="N2:O2"/>
    <mergeCell ref="J2:K2"/>
    <mergeCell ref="B1:E1"/>
  </mergeCells>
  <phoneticPr fontId="22" type="noConversion"/>
  <conditionalFormatting sqref="B4:B13">
    <cfRule type="cellIs" dxfId="71" priority="131" operator="between">
      <formula>-0.05</formula>
      <formula>0.05</formula>
    </cfRule>
    <cfRule type="cellIs" dxfId="70" priority="86" operator="between">
      <formula>-0.1</formula>
      <formula>0.1</formula>
    </cfRule>
    <cfRule type="cellIs" dxfId="69" priority="85" operator="between">
      <formula>-0.1</formula>
      <formula>0.1</formula>
    </cfRule>
    <cfRule type="cellIs" dxfId="68" priority="130" operator="between">
      <formula>-0.05</formula>
      <formula>0.05</formula>
    </cfRule>
  </conditionalFormatting>
  <conditionalFormatting sqref="C4:C13">
    <cfRule type="cellIs" dxfId="67" priority="125" operator="equal">
      <formula>"OK"</formula>
    </cfRule>
    <cfRule type="cellIs" dxfId="66" priority="126" operator="equal">
      <formula>"""OK"""</formula>
    </cfRule>
  </conditionalFormatting>
  <conditionalFormatting sqref="D4:E13">
    <cfRule type="cellIs" dxfId="65" priority="80" operator="between">
      <formula>-0.05</formula>
      <formula>0.05</formula>
    </cfRule>
    <cfRule type="cellIs" dxfId="64" priority="79" operator="between">
      <formula>-0.05</formula>
      <formula>0.05</formula>
    </cfRule>
    <cfRule type="cellIs" dxfId="63" priority="78" operator="between">
      <formula>-0.1</formula>
      <formula>0.1</formula>
    </cfRule>
    <cfRule type="cellIs" dxfId="62" priority="77" operator="between">
      <formula>-0.1</formula>
      <formula>0.1</formula>
    </cfRule>
  </conditionalFormatting>
  <conditionalFormatting sqref="F4:I13">
    <cfRule type="cellIs" dxfId="61" priority="52" operator="equal">
      <formula>"""OK"""</formula>
    </cfRule>
    <cfRule type="cellIs" dxfId="60" priority="51" operator="equal">
      <formula>"OK"</formula>
    </cfRule>
  </conditionalFormatting>
  <conditionalFormatting sqref="J4:J13">
    <cfRule type="cellIs" dxfId="59" priority="76" operator="between">
      <formula>-0.05</formula>
      <formula>0.05</formula>
    </cfRule>
    <cfRule type="cellIs" dxfId="58" priority="75" operator="between">
      <formula>-0.05</formula>
      <formula>0.05</formula>
    </cfRule>
    <cfRule type="cellIs" dxfId="57" priority="74" operator="between">
      <formula>-0.1</formula>
      <formula>0.1</formula>
    </cfRule>
    <cfRule type="cellIs" dxfId="56" priority="73" operator="between">
      <formula>-0.1</formula>
      <formula>0.1</formula>
    </cfRule>
  </conditionalFormatting>
  <conditionalFormatting sqref="K4:K13">
    <cfRule type="cellIs" dxfId="55" priority="107" operator="equal">
      <formula>"OK"</formula>
    </cfRule>
    <cfRule type="cellIs" dxfId="54" priority="108" operator="equal">
      <formula>"""OK"""</formula>
    </cfRule>
  </conditionalFormatting>
  <conditionalFormatting sqref="L4:L13">
    <cfRule type="cellIs" dxfId="53" priority="71" operator="between">
      <formula>-0.05</formula>
      <formula>0.05</formula>
    </cfRule>
    <cfRule type="cellIs" dxfId="52" priority="70" operator="between">
      <formula>-0.1</formula>
      <formula>0.1</formula>
    </cfRule>
    <cfRule type="cellIs" dxfId="51" priority="69" operator="between">
      <formula>-0.1</formula>
      <formula>0.1</formula>
    </cfRule>
    <cfRule type="cellIs" dxfId="50" priority="72" operator="between">
      <formula>-0.05</formula>
      <formula>0.05</formula>
    </cfRule>
  </conditionalFormatting>
  <conditionalFormatting sqref="M4:M13">
    <cfRule type="cellIs" dxfId="49" priority="111" operator="equal">
      <formula>"OK"</formula>
    </cfRule>
    <cfRule type="cellIs" dxfId="48" priority="112" operator="equal">
      <formula>"""OK"""</formula>
    </cfRule>
  </conditionalFormatting>
  <conditionalFormatting sqref="N4:N13">
    <cfRule type="cellIs" dxfId="47" priority="65" operator="between">
      <formula>-0.1</formula>
      <formula>0.1</formula>
    </cfRule>
    <cfRule type="cellIs" dxfId="46" priority="66" operator="between">
      <formula>-0.1</formula>
      <formula>0.1</formula>
    </cfRule>
    <cfRule type="cellIs" dxfId="45" priority="67" operator="between">
      <formula>-0.05</formula>
      <formula>0.05</formula>
    </cfRule>
    <cfRule type="cellIs" dxfId="44" priority="68" operator="between">
      <formula>-0.05</formula>
      <formula>0.05</formula>
    </cfRule>
  </conditionalFormatting>
  <conditionalFormatting sqref="O4:R13">
    <cfRule type="cellIs" dxfId="43" priority="33" operator="equal">
      <formula>"OK"</formula>
    </cfRule>
    <cfRule type="cellIs" dxfId="42" priority="34" operator="equal">
      <formula>"""OK"""</formula>
    </cfRule>
  </conditionalFormatting>
  <conditionalFormatting sqref="S4:S13">
    <cfRule type="cellIs" dxfId="41" priority="32" operator="between">
      <formula>-0.05</formula>
      <formula>0.05</formula>
    </cfRule>
    <cfRule type="cellIs" dxfId="40" priority="29" operator="between">
      <formula>-0.1</formula>
      <formula>0.1</formula>
    </cfRule>
    <cfRule type="cellIs" dxfId="39" priority="31" operator="between">
      <formula>-0.05</formula>
      <formula>0.05</formula>
    </cfRule>
    <cfRule type="cellIs" dxfId="38" priority="30" operator="between">
      <formula>-0.1</formula>
      <formula>0.1</formula>
    </cfRule>
  </conditionalFormatting>
  <conditionalFormatting sqref="T4:T13">
    <cfRule type="cellIs" dxfId="37" priority="23" operator="equal">
      <formula>"OK"</formula>
    </cfRule>
    <cfRule type="cellIs" dxfId="36" priority="24" operator="equal">
      <formula>"""OK"""</formula>
    </cfRule>
  </conditionalFormatting>
  <conditionalFormatting sqref="U4:U13">
    <cfRule type="cellIs" dxfId="35" priority="27" operator="between">
      <formula>-0.05</formula>
      <formula>0.05</formula>
    </cfRule>
    <cfRule type="cellIs" dxfId="34" priority="25" operator="between">
      <formula>-0.1</formula>
      <formula>0.1</formula>
    </cfRule>
    <cfRule type="cellIs" dxfId="33" priority="28" operator="between">
      <formula>-0.05</formula>
      <formula>0.05</formula>
    </cfRule>
    <cfRule type="cellIs" dxfId="32" priority="26" operator="between">
      <formula>-0.1</formula>
      <formula>0.1</formula>
    </cfRule>
  </conditionalFormatting>
  <conditionalFormatting sqref="V4:V13">
    <cfRule type="cellIs" dxfId="31" priority="21" operator="equal">
      <formula>"OK"</formula>
    </cfRule>
    <cfRule type="cellIs" dxfId="30" priority="22" operator="equal">
      <formula>"""OK"""</formula>
    </cfRule>
  </conditionalFormatting>
  <conditionalFormatting sqref="W4:W13">
    <cfRule type="cellIs" dxfId="29" priority="19" operator="between">
      <formula>-0.05</formula>
      <formula>0.05</formula>
    </cfRule>
    <cfRule type="cellIs" dxfId="28" priority="20" operator="between">
      <formula>-0.05</formula>
      <formula>0.05</formula>
    </cfRule>
    <cfRule type="cellIs" dxfId="27" priority="18" operator="between">
      <formula>-0.1</formula>
      <formula>0.1</formula>
    </cfRule>
    <cfRule type="cellIs" dxfId="26" priority="17" operator="between">
      <formula>-0.1</formula>
      <formula>0.1</formula>
    </cfRule>
  </conditionalFormatting>
  <conditionalFormatting sqref="X4:Y13">
    <cfRule type="cellIs" dxfId="25" priority="14" operator="equal">
      <formula>"""OK"""</formula>
    </cfRule>
    <cfRule type="cellIs" dxfId="24" priority="13" operator="equal">
      <formula>"OK"</formula>
    </cfRule>
  </conditionalFormatting>
  <conditionalFormatting sqref="Z4:AA13">
    <cfRule type="cellIs" dxfId="23" priority="8" operator="between">
      <formula>-0.05</formula>
      <formula>0.05</formula>
    </cfRule>
    <cfRule type="cellIs" dxfId="22" priority="7" operator="between">
      <formula>-0.05</formula>
      <formula>0.05</formula>
    </cfRule>
    <cfRule type="cellIs" dxfId="21" priority="6" operator="between">
      <formula>-0.1</formula>
      <formula>0.1</formula>
    </cfRule>
    <cfRule type="cellIs" dxfId="20" priority="5" operator="between">
      <formula>-0.1</formula>
      <formula>0.1</formula>
    </cfRule>
  </conditionalFormatting>
  <conditionalFormatting sqref="AB4:AC13">
    <cfRule type="cellIs" dxfId="19" priority="1" operator="equal">
      <formula>"OK"</formula>
    </cfRule>
    <cfRule type="cellIs" dxfId="18" priority="2" operator="equal">
      <formula>"""OK"""</formula>
    </cfRule>
  </conditionalFormatting>
  <conditionalFormatting sqref="AD4:AE13">
    <cfRule type="cellIs" dxfId="17" priority="50" operator="between">
      <formula>-0.05</formula>
      <formula>0.05</formula>
    </cfRule>
    <cfRule type="cellIs" dxfId="16" priority="48" operator="between">
      <formula>-0.1</formula>
      <formula>0.1</formula>
    </cfRule>
    <cfRule type="cellIs" dxfId="15" priority="49" operator="between">
      <formula>-0.05</formula>
      <formula>0.05</formula>
    </cfRule>
    <cfRule type="cellIs" dxfId="14" priority="47" operator="between">
      <formula>-0.1</formula>
      <formula>0.1</formula>
    </cfRule>
  </conditionalFormatting>
  <conditionalFormatting sqref="AF4:AF13">
    <cfRule type="cellIs" dxfId="13" priority="91" operator="equal">
      <formula>"""OK"""</formula>
    </cfRule>
    <cfRule type="cellIs" dxfId="12" priority="90" operator="equal">
      <formula>"OK"</formula>
    </cfRule>
  </conditionalFormatting>
  <conditionalFormatting sqref="AG4:AH13">
    <cfRule type="cellIs" dxfId="11" priority="45" operator="between">
      <formula>-0.05</formula>
      <formula>0.05</formula>
    </cfRule>
    <cfRule type="cellIs" dxfId="10" priority="44" operator="between">
      <formula>-0.1</formula>
      <formula>0.1</formula>
    </cfRule>
    <cfRule type="cellIs" dxfId="9" priority="43" operator="between">
      <formula>-0.1</formula>
      <formula>0.1</formula>
    </cfRule>
    <cfRule type="cellIs" dxfId="8" priority="46" operator="between">
      <formula>-0.05</formula>
      <formula>0.05</formula>
    </cfRule>
  </conditionalFormatting>
  <conditionalFormatting sqref="AI4:AI13">
    <cfRule type="cellIs" dxfId="7" priority="55" operator="equal">
      <formula>"OK"</formula>
    </cfRule>
    <cfRule type="cellIs" dxfId="6" priority="56" operator="equal">
      <formula>"""OK"""</formula>
    </cfRule>
  </conditionalFormatting>
  <conditionalFormatting sqref="AJ4:AJ13">
    <cfRule type="cellIs" dxfId="5" priority="40" operator="between">
      <formula>-0.05</formula>
      <formula>0.05</formula>
    </cfRule>
    <cfRule type="cellIs" dxfId="4" priority="39" operator="between">
      <formula>-0.05</formula>
      <formula>0.05</formula>
    </cfRule>
    <cfRule type="cellIs" dxfId="3" priority="37" operator="between">
      <formula>-0.1</formula>
      <formula>0.1</formula>
    </cfRule>
    <cfRule type="cellIs" dxfId="2" priority="38" operator="between">
      <formula>-0.1</formula>
      <formula>0.1</formula>
    </cfRule>
  </conditionalFormatting>
  <conditionalFormatting sqref="AK4:AK13">
    <cfRule type="cellIs" dxfId="1" priority="53" operator="equal">
      <formula>"OK"</formula>
    </cfRule>
    <cfRule type="cellIs" dxfId="0" priority="54" operator="equal">
      <formula>"""OK"""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59C8-9B3D-45EB-BDB5-CF98C6B1C412}">
  <sheetPr>
    <tabColor rgb="FF00B050"/>
  </sheetPr>
  <dimension ref="A1:F34"/>
  <sheetViews>
    <sheetView workbookViewId="0">
      <selection activeCell="D88" sqref="D88:O89"/>
    </sheetView>
  </sheetViews>
  <sheetFormatPr defaultRowHeight="14.5" x14ac:dyDescent="0.35"/>
  <cols>
    <col min="1" max="1" width="29.453125" customWidth="1"/>
    <col min="2" max="2" width="29.1796875" customWidth="1"/>
    <col min="5" max="5" width="17.453125" bestFit="1" customWidth="1"/>
    <col min="6" max="6" width="30.453125" bestFit="1" customWidth="1"/>
  </cols>
  <sheetData>
    <row r="1" spans="1:3" x14ac:dyDescent="0.35">
      <c r="A1" s="134" t="s">
        <v>212</v>
      </c>
    </row>
    <row r="2" spans="1:3" x14ac:dyDescent="0.35">
      <c r="A2" s="135" t="s">
        <v>213</v>
      </c>
      <c r="B2">
        <f>BS_inputs!D3</f>
        <v>0</v>
      </c>
    </row>
    <row r="3" spans="1:3" x14ac:dyDescent="0.35">
      <c r="A3" s="135" t="s">
        <v>214</v>
      </c>
      <c r="B3">
        <f>BS_inputs!D4</f>
        <v>0</v>
      </c>
    </row>
    <row r="4" spans="1:3" x14ac:dyDescent="0.35">
      <c r="A4" s="135" t="s">
        <v>215</v>
      </c>
      <c r="B4">
        <f>BS_inputs!D5</f>
        <v>0</v>
      </c>
    </row>
    <row r="5" spans="1:3" x14ac:dyDescent="0.35">
      <c r="A5" s="135" t="s">
        <v>216</v>
      </c>
      <c r="B5">
        <f>BS_inputs!D6</f>
        <v>0</v>
      </c>
    </row>
    <row r="6" spans="1:3" x14ac:dyDescent="0.35">
      <c r="A6" s="135" t="s">
        <v>217</v>
      </c>
      <c r="B6" s="136">
        <f>BS_inputs!N3</f>
        <v>0</v>
      </c>
    </row>
    <row r="7" spans="1:3" x14ac:dyDescent="0.35">
      <c r="A7" s="135" t="s">
        <v>218</v>
      </c>
      <c r="B7">
        <f>BS_inputs!N4</f>
        <v>0</v>
      </c>
    </row>
    <row r="8" spans="1:3" x14ac:dyDescent="0.35">
      <c r="A8" s="135" t="s">
        <v>219</v>
      </c>
      <c r="B8">
        <f>BS_inputs!N5</f>
        <v>0</v>
      </c>
    </row>
    <row r="9" spans="1:3" x14ac:dyDescent="0.35">
      <c r="A9" s="135" t="s">
        <v>220</v>
      </c>
      <c r="B9">
        <f>BS_inputs!N15</f>
        <v>0</v>
      </c>
    </row>
    <row r="10" spans="1:3" x14ac:dyDescent="0.35">
      <c r="A10" s="135" t="s">
        <v>221</v>
      </c>
      <c r="B10">
        <f>BS_inputs!N16</f>
        <v>0</v>
      </c>
    </row>
    <row r="11" spans="1:3" x14ac:dyDescent="0.35">
      <c r="A11" s="135" t="s">
        <v>222</v>
      </c>
      <c r="B11">
        <f>BS_inputs!Q8</f>
        <v>0</v>
      </c>
    </row>
    <row r="12" spans="1:3" x14ac:dyDescent="0.35">
      <c r="A12" s="135" t="s">
        <v>223</v>
      </c>
      <c r="B12">
        <f>BS_inputs!H15</f>
        <v>0</v>
      </c>
      <c r="C12" t="s">
        <v>224</v>
      </c>
    </row>
    <row r="13" spans="1:3" x14ac:dyDescent="0.35">
      <c r="A13" s="135" t="s">
        <v>225</v>
      </c>
      <c r="B13">
        <f>BS_inputs!H16</f>
        <v>0</v>
      </c>
      <c r="C13" t="s">
        <v>224</v>
      </c>
    </row>
    <row r="14" spans="1:3" x14ac:dyDescent="0.35">
      <c r="A14" s="135" t="s">
        <v>226</v>
      </c>
      <c r="B14" s="137" t="e">
        <f>BS_inputs!H17</f>
        <v>#DIV/0!</v>
      </c>
      <c r="C14" t="s">
        <v>0</v>
      </c>
    </row>
    <row r="15" spans="1:3" x14ac:dyDescent="0.35">
      <c r="A15" s="135" t="s">
        <v>227</v>
      </c>
      <c r="B15" t="str">
        <f>BS_inputs!L18</f>
        <v>Select</v>
      </c>
    </row>
    <row r="16" spans="1:3" x14ac:dyDescent="0.35">
      <c r="A16" s="135" t="s">
        <v>228</v>
      </c>
      <c r="B16" t="str">
        <f>BS_inputs!L19</f>
        <v>Select</v>
      </c>
    </row>
    <row r="18" spans="1:6" x14ac:dyDescent="0.35">
      <c r="A18" s="138" t="s">
        <v>229</v>
      </c>
    </row>
    <row r="19" spans="1:6" x14ac:dyDescent="0.35">
      <c r="A19" s="139" t="s">
        <v>230</v>
      </c>
      <c r="B19" s="140" t="s">
        <v>148</v>
      </c>
    </row>
    <row r="20" spans="1:6" x14ac:dyDescent="0.35">
      <c r="A20" s="135" t="s">
        <v>231</v>
      </c>
      <c r="B20" s="140" t="s">
        <v>148</v>
      </c>
      <c r="E20" s="141" t="s">
        <v>232</v>
      </c>
      <c r="F20" s="141" t="s">
        <v>233</v>
      </c>
    </row>
    <row r="21" spans="1:6" x14ac:dyDescent="0.35">
      <c r="A21" s="135" t="s">
        <v>234</v>
      </c>
      <c r="B21" t="str">
        <f>VLOOKUP(B20,E21:F29,2,FALSE)</f>
        <v>Select from above dropdown list</v>
      </c>
      <c r="E21" s="142" t="s">
        <v>148</v>
      </c>
      <c r="F21" s="142" t="s">
        <v>235</v>
      </c>
    </row>
    <row r="22" spans="1:6" x14ac:dyDescent="0.35">
      <c r="A22" s="135" t="s">
        <v>236</v>
      </c>
      <c r="B22" s="143">
        <v>44532</v>
      </c>
      <c r="E22" s="142" t="s">
        <v>237</v>
      </c>
      <c r="F22" s="144" t="s">
        <v>238</v>
      </c>
    </row>
    <row r="23" spans="1:6" x14ac:dyDescent="0.35">
      <c r="A23" s="135" t="s">
        <v>239</v>
      </c>
      <c r="B23" s="136">
        <f>WORKDAY(B22,7,)</f>
        <v>44543</v>
      </c>
      <c r="E23" s="142" t="s">
        <v>240</v>
      </c>
      <c r="F23" s="144" t="s">
        <v>241</v>
      </c>
    </row>
    <row r="24" spans="1:6" x14ac:dyDescent="0.35">
      <c r="A24" s="135" t="s">
        <v>242</v>
      </c>
      <c r="B24">
        <f ca="1">B23-TODAY()</f>
        <v>-974</v>
      </c>
      <c r="C24" t="s">
        <v>243</v>
      </c>
      <c r="E24" s="142" t="s">
        <v>244</v>
      </c>
      <c r="F24" s="144" t="s">
        <v>245</v>
      </c>
    </row>
    <row r="25" spans="1:6" x14ac:dyDescent="0.35">
      <c r="E25" s="142" t="s">
        <v>246</v>
      </c>
      <c r="F25" s="144" t="s">
        <v>247</v>
      </c>
    </row>
    <row r="26" spans="1:6" x14ac:dyDescent="0.35">
      <c r="E26" s="142" t="s">
        <v>248</v>
      </c>
      <c r="F26" s="144" t="s">
        <v>249</v>
      </c>
    </row>
    <row r="27" spans="1:6" x14ac:dyDescent="0.35">
      <c r="E27" s="142" t="s">
        <v>250</v>
      </c>
      <c r="F27" s="144" t="s">
        <v>251</v>
      </c>
    </row>
    <row r="28" spans="1:6" x14ac:dyDescent="0.35">
      <c r="E28" s="142" t="s">
        <v>252</v>
      </c>
      <c r="F28" s="142"/>
    </row>
    <row r="29" spans="1:6" x14ac:dyDescent="0.35">
      <c r="E29" s="142" t="s">
        <v>253</v>
      </c>
      <c r="F29" s="142"/>
    </row>
    <row r="31" spans="1:6" x14ac:dyDescent="0.35">
      <c r="E31" s="141" t="s">
        <v>254</v>
      </c>
    </row>
    <row r="32" spans="1:6" x14ac:dyDescent="0.35">
      <c r="E32" s="142" t="s">
        <v>148</v>
      </c>
    </row>
    <row r="33" spans="5:5" x14ac:dyDescent="0.35">
      <c r="E33" s="142" t="s">
        <v>255</v>
      </c>
    </row>
    <row r="34" spans="5:5" x14ac:dyDescent="0.35">
      <c r="E34" s="142" t="s">
        <v>256</v>
      </c>
    </row>
  </sheetData>
  <dataValidations count="2">
    <dataValidation type="list" allowBlank="1" showInputMessage="1" showErrorMessage="1" sqref="B19" xr:uid="{869A8BEE-9147-4A60-8D36-764F032DFD61}">
      <formula1>$E$32:$E$34</formula1>
    </dataValidation>
    <dataValidation type="list" allowBlank="1" showInputMessage="1" showErrorMessage="1" sqref="B20" xr:uid="{A6764B80-A833-4397-9F37-6F440B2C67AF}">
      <formula1>$E$21:$E$29</formula1>
    </dataValidation>
  </dataValidations>
  <hyperlinks>
    <hyperlink ref="F23" r:id="rId1" xr:uid="{3C81D77B-52CD-478F-A458-B73DE1C1826A}"/>
    <hyperlink ref="F22" r:id="rId2" xr:uid="{F67BDD38-675A-4D16-9EAC-B0ED52798447}"/>
    <hyperlink ref="F24" r:id="rId3" xr:uid="{3411DA6B-26FB-41D4-A352-87F589569475}"/>
    <hyperlink ref="F25" r:id="rId4" xr:uid="{D5A7C142-5D63-4F48-9202-5373D3B262E9}"/>
    <hyperlink ref="F26" r:id="rId5" xr:uid="{BCCB5146-8D15-4D98-8FAF-7D86A29F7E12}"/>
    <hyperlink ref="F27" r:id="rId6" xr:uid="{AAB464C4-E2AC-4A41-A8D9-BFC9ED2E6030}"/>
  </hyperlinks>
  <pageMargins left="0.7" right="0.7" top="0.75" bottom="0.75" header="0.3" footer="0.3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workbookViewId="0">
      <selection activeCell="C5" sqref="C5"/>
    </sheetView>
  </sheetViews>
  <sheetFormatPr defaultRowHeight="14.5" x14ac:dyDescent="0.35"/>
  <cols>
    <col min="1" max="1" width="18.26953125" bestFit="1" customWidth="1"/>
    <col min="2" max="2" width="16.26953125" customWidth="1"/>
    <col min="3" max="5" width="12.81640625" customWidth="1"/>
    <col min="6" max="6" width="9.1796875" customWidth="1"/>
  </cols>
  <sheetData>
    <row r="1" spans="1:5" x14ac:dyDescent="0.35">
      <c r="A1" s="28" t="s">
        <v>19</v>
      </c>
      <c r="B1" s="23" t="s">
        <v>149</v>
      </c>
      <c r="C1" s="92" t="s">
        <v>160</v>
      </c>
    </row>
    <row r="2" spans="1:5" x14ac:dyDescent="0.35">
      <c r="A2" s="10" t="s">
        <v>148</v>
      </c>
      <c r="B2" t="s">
        <v>148</v>
      </c>
      <c r="C2" s="93" t="s">
        <v>148</v>
      </c>
    </row>
    <row r="3" spans="1:5" x14ac:dyDescent="0.35">
      <c r="A3" s="10" t="s">
        <v>31</v>
      </c>
      <c r="B3" t="s">
        <v>150</v>
      </c>
      <c r="C3" s="93" t="s">
        <v>161</v>
      </c>
    </row>
    <row r="4" spans="1:5" x14ac:dyDescent="0.35">
      <c r="A4" s="10" t="s">
        <v>33</v>
      </c>
      <c r="B4" t="s">
        <v>151</v>
      </c>
      <c r="C4" s="93" t="s">
        <v>163</v>
      </c>
    </row>
    <row r="5" spans="1:5" ht="15" thickBot="1" x14ac:dyDescent="0.4">
      <c r="A5" s="27" t="s">
        <v>34</v>
      </c>
      <c r="C5" s="93" t="s">
        <v>162</v>
      </c>
    </row>
    <row r="6" spans="1:5" x14ac:dyDescent="0.35">
      <c r="A6" s="6"/>
      <c r="B6" s="7"/>
      <c r="C6" s="7"/>
      <c r="D6" s="7"/>
      <c r="E6" s="8"/>
    </row>
    <row r="7" spans="1:5" x14ac:dyDescent="0.35">
      <c r="A7" s="9"/>
      <c r="E7" s="10"/>
    </row>
    <row r="8" spans="1:5" x14ac:dyDescent="0.35">
      <c r="A8" s="9"/>
      <c r="E8" s="10"/>
    </row>
    <row r="9" spans="1:5" x14ac:dyDescent="0.35">
      <c r="A9" s="9"/>
      <c r="E9" s="10"/>
    </row>
    <row r="10" spans="1:5" x14ac:dyDescent="0.35">
      <c r="A10" s="9"/>
      <c r="E10" s="10"/>
    </row>
    <row r="11" spans="1:5" x14ac:dyDescent="0.35">
      <c r="A11" s="9"/>
      <c r="E11" s="10"/>
    </row>
    <row r="12" spans="1:5" x14ac:dyDescent="0.35">
      <c r="A12" s="9"/>
      <c r="E12" s="10"/>
    </row>
    <row r="13" spans="1:5" x14ac:dyDescent="0.35">
      <c r="A13" s="9"/>
      <c r="E13" s="10"/>
    </row>
    <row r="14" spans="1:5" x14ac:dyDescent="0.35">
      <c r="A14" s="9"/>
      <c r="E14" s="10"/>
    </row>
    <row r="15" spans="1:5" x14ac:dyDescent="0.35">
      <c r="A15" s="9"/>
      <c r="E15" s="10"/>
    </row>
    <row r="16" spans="1:5" x14ac:dyDescent="0.35">
      <c r="A16" s="9"/>
      <c r="E16" s="10"/>
    </row>
    <row r="17" spans="1:5" x14ac:dyDescent="0.35">
      <c r="A17" s="9"/>
      <c r="E17" s="10"/>
    </row>
    <row r="18" spans="1:5" x14ac:dyDescent="0.35">
      <c r="A18" s="11" t="s">
        <v>21</v>
      </c>
      <c r="E18" s="10"/>
    </row>
    <row r="19" spans="1:5" x14ac:dyDescent="0.35">
      <c r="A19" s="9" t="s">
        <v>4</v>
      </c>
      <c r="B19" t="e">
        <f>#REF!</f>
        <v>#REF!</v>
      </c>
      <c r="E19" s="10"/>
    </row>
    <row r="20" spans="1:5" x14ac:dyDescent="0.35">
      <c r="A20" s="9" t="s">
        <v>2</v>
      </c>
      <c r="B20" t="e">
        <f>#REF!</f>
        <v>#REF!</v>
      </c>
      <c r="E20" s="10"/>
    </row>
    <row r="21" spans="1:5" ht="16.5" x14ac:dyDescent="0.45">
      <c r="A21" s="9" t="s">
        <v>28</v>
      </c>
      <c r="B21" s="12" t="e">
        <f>#REF!</f>
        <v>#REF!</v>
      </c>
      <c r="E21" s="10"/>
    </row>
    <row r="22" spans="1:5" x14ac:dyDescent="0.35">
      <c r="A22" s="9"/>
      <c r="E22" s="10"/>
    </row>
    <row r="23" spans="1:5" ht="30" x14ac:dyDescent="0.45">
      <c r="A23" s="13" t="s">
        <v>23</v>
      </c>
      <c r="B23" s="14" t="s">
        <v>22</v>
      </c>
      <c r="C23" s="14" t="s">
        <v>25</v>
      </c>
      <c r="D23" s="14" t="s">
        <v>26</v>
      </c>
      <c r="E23" s="15" t="s">
        <v>27</v>
      </c>
    </row>
    <row r="24" spans="1:5" x14ac:dyDescent="0.35">
      <c r="A24" s="9">
        <v>5</v>
      </c>
      <c r="B24">
        <v>79.400000000000006</v>
      </c>
      <c r="C24" s="16" t="e">
        <f>$B$19*$B$20*B24/360</f>
        <v>#REF!</v>
      </c>
      <c r="D24" s="12" t="e">
        <f>$B$21</f>
        <v>#REF!</v>
      </c>
      <c r="E24" s="17" t="e">
        <f t="shared" ref="E24:E35" si="0">(C24-D24)*A24*60</f>
        <v>#REF!</v>
      </c>
    </row>
    <row r="25" spans="1:5" x14ac:dyDescent="0.35">
      <c r="A25" s="9">
        <v>10</v>
      </c>
      <c r="B25">
        <v>72</v>
      </c>
      <c r="C25" s="16" t="e">
        <f t="shared" ref="C25:C35" si="1">$B$19*$B$20*B25/360</f>
        <v>#REF!</v>
      </c>
      <c r="D25" s="12" t="e">
        <f t="shared" ref="D25:D35" si="2">$B$21</f>
        <v>#REF!</v>
      </c>
      <c r="E25" s="17" t="e">
        <f t="shared" si="0"/>
        <v>#REF!</v>
      </c>
    </row>
    <row r="26" spans="1:5" x14ac:dyDescent="0.35">
      <c r="A26" s="9">
        <v>15</v>
      </c>
      <c r="B26">
        <v>65.8</v>
      </c>
      <c r="C26" s="16" t="e">
        <f t="shared" si="1"/>
        <v>#REF!</v>
      </c>
      <c r="D26" s="12" t="e">
        <f t="shared" si="2"/>
        <v>#REF!</v>
      </c>
      <c r="E26" s="17" t="e">
        <f t="shared" si="0"/>
        <v>#REF!</v>
      </c>
    </row>
    <row r="27" spans="1:5" x14ac:dyDescent="0.35">
      <c r="A27" s="9">
        <v>30</v>
      </c>
      <c r="B27">
        <v>52.4</v>
      </c>
      <c r="C27" s="16" t="e">
        <f t="shared" si="1"/>
        <v>#REF!</v>
      </c>
      <c r="D27" s="12" t="e">
        <f t="shared" si="2"/>
        <v>#REF!</v>
      </c>
      <c r="E27" s="17" t="e">
        <f t="shared" si="0"/>
        <v>#REF!</v>
      </c>
    </row>
    <row r="28" spans="1:5" x14ac:dyDescent="0.35">
      <c r="A28" s="18">
        <v>60</v>
      </c>
      <c r="B28" s="19">
        <v>37.200000000000003</v>
      </c>
      <c r="C28" s="20" t="e">
        <f t="shared" si="1"/>
        <v>#REF!</v>
      </c>
      <c r="D28" s="21" t="e">
        <f t="shared" si="2"/>
        <v>#REF!</v>
      </c>
      <c r="E28" s="22" t="e">
        <f t="shared" si="0"/>
        <v>#REF!</v>
      </c>
    </row>
    <row r="29" spans="1:5" x14ac:dyDescent="0.35">
      <c r="A29" s="9">
        <v>90</v>
      </c>
      <c r="B29">
        <v>28.8</v>
      </c>
      <c r="C29" s="16" t="e">
        <f t="shared" si="1"/>
        <v>#REF!</v>
      </c>
      <c r="D29" s="12" t="e">
        <f t="shared" si="2"/>
        <v>#REF!</v>
      </c>
      <c r="E29" s="17" t="e">
        <f t="shared" si="0"/>
        <v>#REF!</v>
      </c>
    </row>
    <row r="30" spans="1:5" x14ac:dyDescent="0.35">
      <c r="A30" s="9">
        <v>120</v>
      </c>
      <c r="B30">
        <v>23.5</v>
      </c>
      <c r="C30" s="16" t="e">
        <f t="shared" si="1"/>
        <v>#REF!</v>
      </c>
      <c r="D30" s="12" t="e">
        <f t="shared" si="2"/>
        <v>#REF!</v>
      </c>
      <c r="E30" s="17" t="e">
        <f t="shared" si="0"/>
        <v>#REF!</v>
      </c>
    </row>
    <row r="31" spans="1:5" x14ac:dyDescent="0.35">
      <c r="A31" s="9">
        <v>180</v>
      </c>
      <c r="B31">
        <v>17.2</v>
      </c>
      <c r="C31" s="16" t="e">
        <f t="shared" si="1"/>
        <v>#REF!</v>
      </c>
      <c r="D31" s="12" t="e">
        <f t="shared" si="2"/>
        <v>#REF!</v>
      </c>
      <c r="E31" s="17" t="e">
        <f t="shared" si="0"/>
        <v>#REF!</v>
      </c>
    </row>
    <row r="32" spans="1:5" x14ac:dyDescent="0.35">
      <c r="A32" s="9">
        <v>240</v>
      </c>
      <c r="B32">
        <v>13.6</v>
      </c>
      <c r="C32" s="16" t="e">
        <f t="shared" si="1"/>
        <v>#REF!</v>
      </c>
      <c r="D32" s="12" t="e">
        <f t="shared" si="2"/>
        <v>#REF!</v>
      </c>
      <c r="E32" s="17" t="e">
        <f t="shared" si="0"/>
        <v>#REF!</v>
      </c>
    </row>
    <row r="33" spans="1:5" x14ac:dyDescent="0.35">
      <c r="A33" s="9">
        <v>300</v>
      </c>
      <c r="B33">
        <v>11.2</v>
      </c>
      <c r="C33" s="16" t="e">
        <f t="shared" si="1"/>
        <v>#REF!</v>
      </c>
      <c r="D33" s="12" t="e">
        <f t="shared" si="2"/>
        <v>#REF!</v>
      </c>
      <c r="E33" s="17" t="e">
        <f t="shared" si="0"/>
        <v>#REF!</v>
      </c>
    </row>
    <row r="34" spans="1:5" x14ac:dyDescent="0.35">
      <c r="A34" s="9">
        <v>360</v>
      </c>
      <c r="B34">
        <v>9.5</v>
      </c>
      <c r="C34" s="16" t="e">
        <f t="shared" si="1"/>
        <v>#REF!</v>
      </c>
      <c r="D34" s="12" t="e">
        <f t="shared" si="2"/>
        <v>#REF!</v>
      </c>
      <c r="E34" s="17" t="e">
        <f t="shared" si="0"/>
        <v>#REF!</v>
      </c>
    </row>
    <row r="35" spans="1:5" x14ac:dyDescent="0.35">
      <c r="A35" s="9">
        <v>720</v>
      </c>
      <c r="B35">
        <v>5</v>
      </c>
      <c r="C35" s="16" t="e">
        <f t="shared" si="1"/>
        <v>#REF!</v>
      </c>
      <c r="D35" s="12" t="e">
        <f t="shared" si="2"/>
        <v>#REF!</v>
      </c>
      <c r="E35" s="17" t="e">
        <f t="shared" si="0"/>
        <v>#REF!</v>
      </c>
    </row>
    <row r="36" spans="1:5" x14ac:dyDescent="0.35">
      <c r="A36" s="9"/>
      <c r="D36" s="23" t="s">
        <v>24</v>
      </c>
      <c r="E36" s="24" t="e">
        <f>MAX(E24:E35)</f>
        <v>#REF!</v>
      </c>
    </row>
    <row r="37" spans="1:5" x14ac:dyDescent="0.35">
      <c r="A37" s="9"/>
      <c r="E37" s="10"/>
    </row>
    <row r="38" spans="1:5" x14ac:dyDescent="0.35">
      <c r="A38" s="11" t="s">
        <v>20</v>
      </c>
      <c r="E38" s="10"/>
    </row>
    <row r="39" spans="1:5" x14ac:dyDescent="0.35">
      <c r="A39" s="9" t="s">
        <v>4</v>
      </c>
      <c r="B39" t="e">
        <f>#REF!</f>
        <v>#REF!</v>
      </c>
      <c r="E39" s="10"/>
    </row>
    <row r="40" spans="1:5" x14ac:dyDescent="0.35">
      <c r="A40" s="9" t="s">
        <v>2</v>
      </c>
      <c r="B40" t="e">
        <f>#REF!</f>
        <v>#REF!</v>
      </c>
      <c r="E40" s="10"/>
    </row>
    <row r="41" spans="1:5" ht="16.5" x14ac:dyDescent="0.45">
      <c r="A41" s="9" t="s">
        <v>28</v>
      </c>
      <c r="B41" s="12" t="e">
        <f>#REF!</f>
        <v>#REF!</v>
      </c>
      <c r="E41" s="10"/>
    </row>
    <row r="42" spans="1:5" x14ac:dyDescent="0.35">
      <c r="A42" s="9"/>
      <c r="E42" s="10"/>
    </row>
    <row r="43" spans="1:5" ht="30" x14ac:dyDescent="0.45">
      <c r="A43" s="13" t="s">
        <v>23</v>
      </c>
      <c r="B43" s="14" t="s">
        <v>22</v>
      </c>
      <c r="C43" s="14" t="s">
        <v>25</v>
      </c>
      <c r="D43" s="14" t="s">
        <v>26</v>
      </c>
      <c r="E43" s="15" t="s">
        <v>27</v>
      </c>
    </row>
    <row r="44" spans="1:5" x14ac:dyDescent="0.35">
      <c r="A44" s="9">
        <v>5</v>
      </c>
      <c r="B44">
        <v>79.400000000000006</v>
      </c>
      <c r="C44" s="16" t="e">
        <f>$B$39*$B$40*B44/360</f>
        <v>#REF!</v>
      </c>
      <c r="D44" s="12" t="e">
        <f>$B$41</f>
        <v>#REF!</v>
      </c>
      <c r="E44" s="17" t="e">
        <f t="shared" ref="E44:E55" si="3">(C44-D44)*A44*60</f>
        <v>#REF!</v>
      </c>
    </row>
    <row r="45" spans="1:5" x14ac:dyDescent="0.35">
      <c r="A45" s="9">
        <v>10</v>
      </c>
      <c r="B45">
        <v>72</v>
      </c>
      <c r="C45" s="16" t="e">
        <f t="shared" ref="C45:C55" si="4">$B$39*$B$40*B45/360</f>
        <v>#REF!</v>
      </c>
      <c r="D45" s="12" t="e">
        <f t="shared" ref="D45:D55" si="5">$B$41</f>
        <v>#REF!</v>
      </c>
      <c r="E45" s="17" t="e">
        <f t="shared" si="3"/>
        <v>#REF!</v>
      </c>
    </row>
    <row r="46" spans="1:5" x14ac:dyDescent="0.35">
      <c r="A46" s="9">
        <v>15</v>
      </c>
      <c r="B46">
        <v>65.8</v>
      </c>
      <c r="C46" s="16" t="e">
        <f t="shared" si="4"/>
        <v>#REF!</v>
      </c>
      <c r="D46" s="12" t="e">
        <f t="shared" si="5"/>
        <v>#REF!</v>
      </c>
      <c r="E46" s="17" t="e">
        <f t="shared" si="3"/>
        <v>#REF!</v>
      </c>
    </row>
    <row r="47" spans="1:5" x14ac:dyDescent="0.35">
      <c r="A47" s="9">
        <v>30</v>
      </c>
      <c r="B47">
        <v>52.4</v>
      </c>
      <c r="C47" s="16" t="e">
        <f t="shared" si="4"/>
        <v>#REF!</v>
      </c>
      <c r="D47" s="12" t="e">
        <f t="shared" si="5"/>
        <v>#REF!</v>
      </c>
      <c r="E47" s="17" t="e">
        <f t="shared" si="3"/>
        <v>#REF!</v>
      </c>
    </row>
    <row r="48" spans="1:5" x14ac:dyDescent="0.35">
      <c r="A48" s="18">
        <v>60</v>
      </c>
      <c r="B48" s="19">
        <v>37.200000000000003</v>
      </c>
      <c r="C48" s="20" t="e">
        <f t="shared" si="4"/>
        <v>#REF!</v>
      </c>
      <c r="D48" s="21" t="e">
        <f t="shared" si="5"/>
        <v>#REF!</v>
      </c>
      <c r="E48" s="22" t="e">
        <f t="shared" si="3"/>
        <v>#REF!</v>
      </c>
    </row>
    <row r="49" spans="1:5" x14ac:dyDescent="0.35">
      <c r="A49" s="9">
        <v>90</v>
      </c>
      <c r="B49">
        <v>28.8</v>
      </c>
      <c r="C49" s="16" t="e">
        <f t="shared" si="4"/>
        <v>#REF!</v>
      </c>
      <c r="D49" s="12" t="e">
        <f t="shared" si="5"/>
        <v>#REF!</v>
      </c>
      <c r="E49" s="17" t="e">
        <f t="shared" si="3"/>
        <v>#REF!</v>
      </c>
    </row>
    <row r="50" spans="1:5" x14ac:dyDescent="0.35">
      <c r="A50" s="9">
        <v>120</v>
      </c>
      <c r="B50">
        <v>23.5</v>
      </c>
      <c r="C50" s="16" t="e">
        <f t="shared" si="4"/>
        <v>#REF!</v>
      </c>
      <c r="D50" s="12" t="e">
        <f t="shared" si="5"/>
        <v>#REF!</v>
      </c>
      <c r="E50" s="17" t="e">
        <f t="shared" si="3"/>
        <v>#REF!</v>
      </c>
    </row>
    <row r="51" spans="1:5" x14ac:dyDescent="0.35">
      <c r="A51" s="9">
        <v>180</v>
      </c>
      <c r="B51">
        <v>17.2</v>
      </c>
      <c r="C51" s="16" t="e">
        <f t="shared" si="4"/>
        <v>#REF!</v>
      </c>
      <c r="D51" s="12" t="e">
        <f t="shared" si="5"/>
        <v>#REF!</v>
      </c>
      <c r="E51" s="17" t="e">
        <f t="shared" si="3"/>
        <v>#REF!</v>
      </c>
    </row>
    <row r="52" spans="1:5" x14ac:dyDescent="0.35">
      <c r="A52" s="9">
        <v>240</v>
      </c>
      <c r="B52">
        <v>13.6</v>
      </c>
      <c r="C52" s="16" t="e">
        <f t="shared" si="4"/>
        <v>#REF!</v>
      </c>
      <c r="D52" s="12" t="e">
        <f t="shared" si="5"/>
        <v>#REF!</v>
      </c>
      <c r="E52" s="17" t="e">
        <f t="shared" si="3"/>
        <v>#REF!</v>
      </c>
    </row>
    <row r="53" spans="1:5" x14ac:dyDescent="0.35">
      <c r="A53" s="9">
        <v>300</v>
      </c>
      <c r="B53">
        <v>11.2</v>
      </c>
      <c r="C53" s="16" t="e">
        <f t="shared" si="4"/>
        <v>#REF!</v>
      </c>
      <c r="D53" s="12" t="e">
        <f t="shared" si="5"/>
        <v>#REF!</v>
      </c>
      <c r="E53" s="17" t="e">
        <f t="shared" si="3"/>
        <v>#REF!</v>
      </c>
    </row>
    <row r="54" spans="1:5" x14ac:dyDescent="0.35">
      <c r="A54" s="9">
        <v>360</v>
      </c>
      <c r="B54">
        <v>9.5</v>
      </c>
      <c r="C54" s="16" t="e">
        <f t="shared" si="4"/>
        <v>#REF!</v>
      </c>
      <c r="D54" s="12" t="e">
        <f t="shared" si="5"/>
        <v>#REF!</v>
      </c>
      <c r="E54" s="17" t="e">
        <f t="shared" si="3"/>
        <v>#REF!</v>
      </c>
    </row>
    <row r="55" spans="1:5" x14ac:dyDescent="0.35">
      <c r="A55" s="9">
        <v>720</v>
      </c>
      <c r="B55">
        <v>5</v>
      </c>
      <c r="C55" s="16" t="e">
        <f t="shared" si="4"/>
        <v>#REF!</v>
      </c>
      <c r="D55" s="12" t="e">
        <f t="shared" si="5"/>
        <v>#REF!</v>
      </c>
      <c r="E55" s="17" t="e">
        <f t="shared" si="3"/>
        <v>#REF!</v>
      </c>
    </row>
    <row r="56" spans="1:5" x14ac:dyDescent="0.35">
      <c r="A56" s="9"/>
      <c r="D56" s="23" t="s">
        <v>24</v>
      </c>
      <c r="E56" s="24" t="e">
        <f>MAX(E44:E55)</f>
        <v>#REF!</v>
      </c>
    </row>
    <row r="57" spans="1:5" ht="15" thickBot="1" x14ac:dyDescent="0.4">
      <c r="A57" s="25"/>
      <c r="B57" s="26"/>
      <c r="C57" s="26"/>
      <c r="D57" s="26"/>
      <c r="E57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BS_inputs</vt:lpstr>
      <vt:lpstr>BS_backend</vt:lpstr>
      <vt:lpstr>BS_report</vt:lpstr>
      <vt:lpstr>Qlik</vt:lpstr>
      <vt:lpstr>For inputlist</vt:lpstr>
      <vt:lpstr>BS_inputs!Print_Area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Hong Yi</dc:creator>
  <cp:lastModifiedBy>Kelly SNG (PUB)</cp:lastModifiedBy>
  <cp:lastPrinted>2021-01-15T07:15:48Z</cp:lastPrinted>
  <dcterms:created xsi:type="dcterms:W3CDTF">2015-10-12T04:37:51Z</dcterms:created>
  <dcterms:modified xsi:type="dcterms:W3CDTF">2024-08-13T08:29:01Z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2024-08-16T03:50:20Z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e00826b6-db2a-4a02-a6ec-e18af4236a3f</vt:lpwstr>
  </property>
  <property fmtid="{D5CDD505-2E9C-101B-9397-08002B2CF9AE}" pid="8" name="MSIP_Label_5434c4c7-833e-41e4-b0ab-cdb227a2f6f7_ContentBits">
    <vt:lpwstr>0</vt:lpwstr>
  </property>
</Properties>
</file>