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nafa\Desktop\"/>
    </mc:Choice>
  </mc:AlternateContent>
  <xr:revisionPtr revIDLastSave="0" documentId="13_ncr:1_{A775E555-0C72-4FB7-B9D5-4A3C55236B42}" xr6:coauthVersionLast="47" xr6:coauthVersionMax="47" xr10:uidLastSave="{00000000-0000-0000-0000-000000000000}"/>
  <workbookProtection workbookAlgorithmName="SHA-512" workbookHashValue="qSJQtPvsfydX7+7dd41jQ0MkmcI6gJT9mYlDSSaPT1L20n2UrpSmjlcTXKeJtBOK5OmS9zv0hEumT5JnmjDF6g==" workbookSaltValue="yh46vCtunhjyHGSg2Vv8HA==" workbookSpinCount="100000" lockStructure="1"/>
  <bookViews>
    <workbookView xWindow="-110" yWindow="-110" windowWidth="19420" windowHeight="11620" xr2:uid="{93C2F8DD-97F3-44AD-A122-9F5D657DB4E9}"/>
  </bookViews>
  <sheets>
    <sheet name="VS_inputs" sheetId="36" r:id="rId1"/>
    <sheet name="VS_backend" sheetId="35" state="hidden" r:id="rId2"/>
    <sheet name="VS_report" sheetId="37" state="hidden" r:id="rId3"/>
    <sheet name="Qlik" sheetId="38" state="hidden" r:id="rId4"/>
    <sheet name="For inputlist" sheetId="34" state="hidden" r:id="rId5"/>
  </sheets>
  <definedNames>
    <definedName name="_xlnm.Print_Area" localSheetId="0">VS_inputs!$A$1:$R$107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9" i="36" l="1"/>
  <c r="Q80" i="36"/>
  <c r="Q81" i="36"/>
  <c r="Q82" i="36"/>
  <c r="Q83" i="36"/>
  <c r="Q84" i="36"/>
  <c r="Q85" i="36"/>
  <c r="Q86" i="36"/>
  <c r="Q87" i="36"/>
  <c r="Q78" i="36"/>
  <c r="B16" i="38"/>
  <c r="B15" i="38"/>
  <c r="B13" i="38"/>
  <c r="B12" i="38"/>
  <c r="B11" i="38"/>
  <c r="B10" i="38"/>
  <c r="B9" i="38"/>
  <c r="B8" i="38"/>
  <c r="B7" i="38"/>
  <c r="B6" i="38"/>
  <c r="B5" i="38"/>
  <c r="B4" i="38"/>
  <c r="B3" i="38"/>
  <c r="B2" i="38"/>
  <c r="B23" i="38"/>
  <c r="B24" i="38" s="1"/>
  <c r="B21" i="38"/>
  <c r="G48" i="36" l="1"/>
  <c r="G49" i="36"/>
  <c r="G50" i="36"/>
  <c r="G51" i="36"/>
  <c r="G52" i="36"/>
  <c r="G53" i="36"/>
  <c r="G54" i="36"/>
  <c r="G55" i="36"/>
  <c r="G56" i="36"/>
  <c r="G47" i="36"/>
  <c r="P33" i="36" l="1"/>
  <c r="P34" i="36"/>
  <c r="P35" i="36"/>
  <c r="P36" i="36"/>
  <c r="P37" i="36"/>
  <c r="P38" i="36"/>
  <c r="P39" i="36"/>
  <c r="P40" i="36"/>
  <c r="P41" i="36"/>
  <c r="P32" i="36"/>
  <c r="A97" i="36" l="1"/>
  <c r="A98" i="36"/>
  <c r="A99" i="36"/>
  <c r="A100" i="36"/>
  <c r="A101" i="36"/>
  <c r="A102" i="36"/>
  <c r="A103" i="36"/>
  <c r="A104" i="36"/>
  <c r="A105" i="36"/>
  <c r="A96" i="36"/>
  <c r="A79" i="36"/>
  <c r="A80" i="36"/>
  <c r="A81" i="36"/>
  <c r="A82" i="36"/>
  <c r="A83" i="36"/>
  <c r="A84" i="36"/>
  <c r="A85" i="36"/>
  <c r="A86" i="36"/>
  <c r="A87" i="36"/>
  <c r="A78" i="36"/>
  <c r="A63" i="36"/>
  <c r="A64" i="36"/>
  <c r="A65" i="36"/>
  <c r="A66" i="36"/>
  <c r="A67" i="36"/>
  <c r="A68" i="36"/>
  <c r="A69" i="36"/>
  <c r="A70" i="36"/>
  <c r="A71" i="36"/>
  <c r="A62" i="36"/>
  <c r="A48" i="36"/>
  <c r="A49" i="36"/>
  <c r="A50" i="36"/>
  <c r="A51" i="36"/>
  <c r="A52" i="36"/>
  <c r="A53" i="36"/>
  <c r="A54" i="36"/>
  <c r="A55" i="36"/>
  <c r="A56" i="36"/>
  <c r="A47" i="36"/>
  <c r="I47" i="35" l="1"/>
  <c r="N47" i="35"/>
  <c r="N48" i="35"/>
  <c r="N49" i="35"/>
  <c r="N50" i="35"/>
  <c r="N51" i="35"/>
  <c r="N52" i="35"/>
  <c r="N53" i="35"/>
  <c r="N54" i="35"/>
  <c r="N55" i="35"/>
  <c r="N56" i="35"/>
  <c r="A3" i="35" l="1"/>
  <c r="A4" i="35"/>
  <c r="A5" i="35"/>
  <c r="A6" i="35"/>
  <c r="A7" i="35"/>
  <c r="A8" i="35"/>
  <c r="A9" i="35"/>
  <c r="A10" i="35"/>
  <c r="A11" i="35"/>
  <c r="A12" i="35"/>
  <c r="A17" i="35"/>
  <c r="A18" i="35"/>
  <c r="A19" i="35"/>
  <c r="A20" i="35"/>
  <c r="A21" i="35"/>
  <c r="A22" i="35"/>
  <c r="A23" i="35"/>
  <c r="A24" i="35"/>
  <c r="A25" i="35"/>
  <c r="A26" i="35"/>
  <c r="A32" i="35"/>
  <c r="A33" i="35"/>
  <c r="A34" i="35"/>
  <c r="A35" i="35"/>
  <c r="A36" i="35"/>
  <c r="A37" i="35"/>
  <c r="A38" i="35"/>
  <c r="A39" i="35"/>
  <c r="A40" i="35"/>
  <c r="A41" i="35"/>
  <c r="A47" i="35"/>
  <c r="A48" i="35"/>
  <c r="A49" i="35"/>
  <c r="A50" i="35"/>
  <c r="A51" i="35"/>
  <c r="A52" i="35"/>
  <c r="A53" i="35"/>
  <c r="A54" i="35"/>
  <c r="A55" i="35"/>
  <c r="A56" i="35"/>
  <c r="H17" i="36" l="1"/>
  <c r="B14" i="38" s="1"/>
  <c r="L33" i="35"/>
  <c r="L34" i="35"/>
  <c r="L35" i="35"/>
  <c r="L36" i="35"/>
  <c r="L37" i="35"/>
  <c r="L38" i="35"/>
  <c r="L39" i="35"/>
  <c r="L40" i="35"/>
  <c r="L41" i="35"/>
  <c r="L32" i="35"/>
  <c r="I18" i="35" l="1"/>
  <c r="I19" i="35"/>
  <c r="I20" i="35"/>
  <c r="I21" i="35"/>
  <c r="I22" i="35"/>
  <c r="I23" i="35"/>
  <c r="I24" i="35"/>
  <c r="I25" i="35"/>
  <c r="I26" i="35"/>
  <c r="E3" i="35"/>
  <c r="N48" i="36" l="1"/>
  <c r="N49" i="36"/>
  <c r="N50" i="36"/>
  <c r="N51" i="36"/>
  <c r="N52" i="36"/>
  <c r="N53" i="36"/>
  <c r="N54" i="36"/>
  <c r="N55" i="36"/>
  <c r="N56" i="36"/>
  <c r="N47" i="36"/>
  <c r="P97" i="36" l="1"/>
  <c r="P98" i="36"/>
  <c r="P99" i="36"/>
  <c r="P100" i="36"/>
  <c r="P101" i="36"/>
  <c r="P102" i="36"/>
  <c r="P103" i="36"/>
  <c r="P104" i="36"/>
  <c r="P105" i="36"/>
  <c r="P96" i="36"/>
  <c r="M79" i="36"/>
  <c r="M80" i="36"/>
  <c r="M81" i="36"/>
  <c r="M82" i="36"/>
  <c r="M83" i="36"/>
  <c r="M84" i="36"/>
  <c r="M85" i="36"/>
  <c r="M86" i="36"/>
  <c r="M87" i="36"/>
  <c r="M78" i="36"/>
  <c r="M63" i="36"/>
  <c r="M64" i="36"/>
  <c r="M65" i="36"/>
  <c r="M66" i="36"/>
  <c r="M67" i="36"/>
  <c r="M68" i="36"/>
  <c r="M69" i="36"/>
  <c r="M70" i="36"/>
  <c r="M71" i="36"/>
  <c r="M62" i="36"/>
  <c r="K63" i="36"/>
  <c r="K64" i="36"/>
  <c r="K65" i="36"/>
  <c r="K66" i="36"/>
  <c r="K67" i="36"/>
  <c r="K68" i="36"/>
  <c r="K69" i="36"/>
  <c r="K70" i="36"/>
  <c r="K71" i="36"/>
  <c r="K62" i="36"/>
  <c r="F63" i="36"/>
  <c r="F64" i="36"/>
  <c r="F65" i="36"/>
  <c r="F66" i="36"/>
  <c r="F67" i="36"/>
  <c r="F68" i="36"/>
  <c r="F69" i="36"/>
  <c r="F70" i="36"/>
  <c r="F71" i="36"/>
  <c r="F62" i="36"/>
  <c r="A5" i="37" l="1"/>
  <c r="A6" i="37"/>
  <c r="A7" i="37"/>
  <c r="A8" i="37"/>
  <c r="A9" i="37"/>
  <c r="A10" i="37"/>
  <c r="A11" i="37"/>
  <c r="A12" i="37"/>
  <c r="A13" i="37"/>
  <c r="A4" i="37"/>
  <c r="C33" i="35" l="1"/>
  <c r="C34" i="35"/>
  <c r="C35" i="35"/>
  <c r="C36" i="35"/>
  <c r="C37" i="35"/>
  <c r="C38" i="35"/>
  <c r="C39" i="35"/>
  <c r="C40" i="35"/>
  <c r="C41" i="35"/>
  <c r="K32" i="35" l="1"/>
  <c r="B18" i="35" l="1"/>
  <c r="B19" i="35"/>
  <c r="B20" i="35"/>
  <c r="B21" i="35"/>
  <c r="B22" i="35"/>
  <c r="B23" i="35"/>
  <c r="B24" i="35"/>
  <c r="B25" i="35"/>
  <c r="B26" i="35"/>
  <c r="B17" i="35"/>
  <c r="C32" i="35" l="1"/>
  <c r="B5" i="35" l="1"/>
  <c r="C5" i="35"/>
  <c r="D5" i="35"/>
  <c r="E5" i="35"/>
  <c r="D19" i="35"/>
  <c r="R19" i="35" s="1"/>
  <c r="E19" i="35"/>
  <c r="H19" i="35" s="1"/>
  <c r="F19" i="35"/>
  <c r="G6" i="37" s="1"/>
  <c r="G19" i="35"/>
  <c r="H6" i="37" s="1"/>
  <c r="J19" i="35"/>
  <c r="I6" i="37" s="1"/>
  <c r="B34" i="35"/>
  <c r="K34" i="35"/>
  <c r="B49" i="35"/>
  <c r="C49" i="35"/>
  <c r="D49" i="35"/>
  <c r="E49" i="35"/>
  <c r="F49" i="35"/>
  <c r="G49" i="35"/>
  <c r="H49" i="35"/>
  <c r="K49" i="35"/>
  <c r="Q49" i="35"/>
  <c r="B6" i="35"/>
  <c r="C6" i="35"/>
  <c r="D6" i="35"/>
  <c r="E6" i="35"/>
  <c r="D20" i="35"/>
  <c r="R20" i="35" s="1"/>
  <c r="E20" i="35"/>
  <c r="F20" i="35"/>
  <c r="G7" i="37" s="1"/>
  <c r="G20" i="35"/>
  <c r="H7" i="37" s="1"/>
  <c r="J20" i="35"/>
  <c r="I7" i="37" s="1"/>
  <c r="B35" i="35"/>
  <c r="K35" i="35"/>
  <c r="B50" i="35"/>
  <c r="C50" i="35"/>
  <c r="D50" i="35"/>
  <c r="E50" i="35"/>
  <c r="F50" i="35"/>
  <c r="G50" i="35"/>
  <c r="H50" i="35"/>
  <c r="K50" i="35"/>
  <c r="Q50" i="35"/>
  <c r="B7" i="35"/>
  <c r="C7" i="35"/>
  <c r="D7" i="35"/>
  <c r="E7" i="35"/>
  <c r="D21" i="35"/>
  <c r="R21" i="35" s="1"/>
  <c r="E21" i="35"/>
  <c r="H21" i="35" s="1"/>
  <c r="F21" i="35"/>
  <c r="G21" i="35"/>
  <c r="H8" i="37" s="1"/>
  <c r="J21" i="35"/>
  <c r="I8" i="37" s="1"/>
  <c r="B36" i="35"/>
  <c r="I51" i="35" s="1"/>
  <c r="K36" i="35"/>
  <c r="B51" i="35"/>
  <c r="C51" i="35"/>
  <c r="D51" i="35"/>
  <c r="E51" i="35"/>
  <c r="F51" i="35"/>
  <c r="G51" i="35"/>
  <c r="H51" i="35"/>
  <c r="K51" i="35"/>
  <c r="Q51" i="35"/>
  <c r="B8" i="35"/>
  <c r="C8" i="35"/>
  <c r="D8" i="35"/>
  <c r="E8" i="35"/>
  <c r="D22" i="35"/>
  <c r="R22" i="35" s="1"/>
  <c r="E22" i="35"/>
  <c r="H22" i="35" s="1"/>
  <c r="F22" i="35"/>
  <c r="G9" i="37" s="1"/>
  <c r="G22" i="35"/>
  <c r="H9" i="37" s="1"/>
  <c r="J22" i="35"/>
  <c r="I9" i="37" s="1"/>
  <c r="B37" i="35"/>
  <c r="I52" i="35" s="1"/>
  <c r="K37" i="35"/>
  <c r="B52" i="35"/>
  <c r="C52" i="35"/>
  <c r="D52" i="35"/>
  <c r="E52" i="35"/>
  <c r="F52" i="35"/>
  <c r="G52" i="35"/>
  <c r="H52" i="35"/>
  <c r="K52" i="35"/>
  <c r="Q52" i="35"/>
  <c r="B9" i="35"/>
  <c r="C9" i="35"/>
  <c r="D9" i="35"/>
  <c r="E9" i="35"/>
  <c r="D23" i="35"/>
  <c r="R23" i="35" s="1"/>
  <c r="E23" i="35"/>
  <c r="H23" i="35" s="1"/>
  <c r="F23" i="35"/>
  <c r="G10" i="37" s="1"/>
  <c r="G23" i="35"/>
  <c r="H10" i="37" s="1"/>
  <c r="J23" i="35"/>
  <c r="I10" i="37" s="1"/>
  <c r="B38" i="35"/>
  <c r="K38" i="35"/>
  <c r="B53" i="35"/>
  <c r="C53" i="35"/>
  <c r="D53" i="35"/>
  <c r="E53" i="35"/>
  <c r="F53" i="35"/>
  <c r="G53" i="35"/>
  <c r="H53" i="35"/>
  <c r="K53" i="35"/>
  <c r="Q53" i="35"/>
  <c r="B10" i="35"/>
  <c r="C10" i="35"/>
  <c r="D10" i="35"/>
  <c r="E10" i="35"/>
  <c r="D24" i="35"/>
  <c r="R24" i="35" s="1"/>
  <c r="E24" i="35"/>
  <c r="F24" i="35"/>
  <c r="G11" i="37" s="1"/>
  <c r="G24" i="35"/>
  <c r="H11" i="37" s="1"/>
  <c r="J24" i="35"/>
  <c r="I11" i="37" s="1"/>
  <c r="B39" i="35"/>
  <c r="I54" i="35" s="1"/>
  <c r="K39" i="35"/>
  <c r="B54" i="35"/>
  <c r="C54" i="35"/>
  <c r="D54" i="35"/>
  <c r="E54" i="35"/>
  <c r="F54" i="35"/>
  <c r="G54" i="35"/>
  <c r="H54" i="35"/>
  <c r="K54" i="35"/>
  <c r="Q54" i="35"/>
  <c r="B11" i="35"/>
  <c r="C11" i="35"/>
  <c r="D11" i="35"/>
  <c r="E11" i="35"/>
  <c r="D25" i="35"/>
  <c r="R25" i="35" s="1"/>
  <c r="E25" i="35"/>
  <c r="H25" i="35" s="1"/>
  <c r="F25" i="35"/>
  <c r="G25" i="35"/>
  <c r="H12" i="37" s="1"/>
  <c r="J25" i="35"/>
  <c r="I12" i="37" s="1"/>
  <c r="B40" i="35"/>
  <c r="I55" i="35" s="1"/>
  <c r="K40" i="35"/>
  <c r="B55" i="35"/>
  <c r="C55" i="35"/>
  <c r="D55" i="35"/>
  <c r="E55" i="35"/>
  <c r="F55" i="35"/>
  <c r="G55" i="35"/>
  <c r="H55" i="35"/>
  <c r="K55" i="35"/>
  <c r="Q55" i="35"/>
  <c r="B12" i="35"/>
  <c r="C12" i="35"/>
  <c r="D12" i="35"/>
  <c r="E12" i="35"/>
  <c r="D26" i="35"/>
  <c r="R26" i="35" s="1"/>
  <c r="E26" i="35"/>
  <c r="H26" i="35" s="1"/>
  <c r="F26" i="35"/>
  <c r="G13" i="37" s="1"/>
  <c r="G26" i="35"/>
  <c r="H13" i="37" s="1"/>
  <c r="J26" i="35"/>
  <c r="I13" i="37" s="1"/>
  <c r="B41" i="35"/>
  <c r="I56" i="35" s="1"/>
  <c r="K41" i="35"/>
  <c r="B56" i="35"/>
  <c r="C56" i="35"/>
  <c r="D56" i="35"/>
  <c r="E56" i="35"/>
  <c r="F56" i="35"/>
  <c r="G56" i="35"/>
  <c r="H56" i="35"/>
  <c r="K56" i="35"/>
  <c r="Q56" i="35"/>
  <c r="J17" i="35"/>
  <c r="K33" i="35"/>
  <c r="C4" i="35"/>
  <c r="C3" i="35"/>
  <c r="B4" i="35"/>
  <c r="D4" i="35"/>
  <c r="E4" i="35"/>
  <c r="D18" i="35"/>
  <c r="R18" i="35" s="1"/>
  <c r="E18" i="35"/>
  <c r="F18" i="35"/>
  <c r="G5" i="37" s="1"/>
  <c r="G18" i="35"/>
  <c r="H5" i="37" s="1"/>
  <c r="J18" i="35"/>
  <c r="I5" i="37" s="1"/>
  <c r="B33" i="35"/>
  <c r="I48" i="35" s="1"/>
  <c r="B48" i="35"/>
  <c r="C48" i="35"/>
  <c r="D48" i="35"/>
  <c r="E48" i="35"/>
  <c r="F48" i="35"/>
  <c r="G48" i="35"/>
  <c r="H48" i="35"/>
  <c r="K48" i="35"/>
  <c r="Q48" i="35"/>
  <c r="I53" i="35" l="1"/>
  <c r="I50" i="35"/>
  <c r="I49" i="35"/>
  <c r="Q18" i="35"/>
  <c r="S18" i="35" s="1"/>
  <c r="F5" i="37" s="1"/>
  <c r="Q26" i="35"/>
  <c r="S26" i="35" s="1"/>
  <c r="F13" i="37" s="1"/>
  <c r="Q25" i="35"/>
  <c r="S25" i="35" s="1"/>
  <c r="F12" i="37" s="1"/>
  <c r="Q24" i="35"/>
  <c r="S24" i="35" s="1"/>
  <c r="F11" i="37" s="1"/>
  <c r="Q23" i="35"/>
  <c r="S23" i="35" s="1"/>
  <c r="F10" i="37" s="1"/>
  <c r="Q22" i="35"/>
  <c r="S22" i="35" s="1"/>
  <c r="F9" i="37" s="1"/>
  <c r="Q21" i="35"/>
  <c r="S21" i="35" s="1"/>
  <c r="F8" i="37" s="1"/>
  <c r="Q20" i="35"/>
  <c r="S20" i="35" s="1"/>
  <c r="F7" i="37" s="1"/>
  <c r="Q19" i="35"/>
  <c r="S19" i="35" s="1"/>
  <c r="F6" i="37" s="1"/>
  <c r="I17" i="35"/>
  <c r="I4" i="37" s="1"/>
  <c r="C26" i="35"/>
  <c r="F8" i="35"/>
  <c r="G8" i="35" s="1"/>
  <c r="I8" i="35" s="1"/>
  <c r="C9" i="37" s="1"/>
  <c r="F6" i="35"/>
  <c r="G6" i="35" s="1"/>
  <c r="I6" i="35" s="1"/>
  <c r="C7" i="37" s="1"/>
  <c r="F7" i="35"/>
  <c r="F10" i="35"/>
  <c r="G10" i="35" s="1"/>
  <c r="M51" i="35"/>
  <c r="M55" i="35"/>
  <c r="M35" i="35"/>
  <c r="N35" i="35" s="1"/>
  <c r="P35" i="35" s="1"/>
  <c r="F12" i="35"/>
  <c r="J50" i="35"/>
  <c r="Q7" i="37" s="1"/>
  <c r="K26" i="35"/>
  <c r="M26" i="35" s="1"/>
  <c r="J54" i="35"/>
  <c r="Q11" i="37" s="1"/>
  <c r="D36" i="35"/>
  <c r="E36" i="35" s="1"/>
  <c r="G36" i="35" s="1"/>
  <c r="F11" i="35"/>
  <c r="G11" i="35" s="1"/>
  <c r="M39" i="35"/>
  <c r="F9" i="35"/>
  <c r="G9" i="35" s="1"/>
  <c r="I9" i="35" s="1"/>
  <c r="C10" i="37" s="1"/>
  <c r="M37" i="35"/>
  <c r="N37" i="35" s="1"/>
  <c r="P37" i="35" s="1"/>
  <c r="K22" i="35"/>
  <c r="M22" i="35" s="1"/>
  <c r="J51" i="35"/>
  <c r="Q8" i="37" s="1"/>
  <c r="M41" i="35"/>
  <c r="N41" i="35" s="1"/>
  <c r="P41" i="35" s="1"/>
  <c r="M50" i="35"/>
  <c r="M56" i="35"/>
  <c r="J55" i="35"/>
  <c r="Q12" i="37" s="1"/>
  <c r="D40" i="35"/>
  <c r="E40" i="35" s="1"/>
  <c r="G40" i="35" s="1"/>
  <c r="C22" i="35"/>
  <c r="C21" i="35"/>
  <c r="G12" i="37"/>
  <c r="G8" i="37"/>
  <c r="D38" i="35"/>
  <c r="C23" i="35"/>
  <c r="K23" i="35"/>
  <c r="M38" i="35"/>
  <c r="M54" i="35"/>
  <c r="J53" i="35"/>
  <c r="Q10" i="37" s="1"/>
  <c r="M53" i="35"/>
  <c r="J52" i="35"/>
  <c r="Q9" i="37" s="1"/>
  <c r="M52" i="35"/>
  <c r="D35" i="35"/>
  <c r="C20" i="35"/>
  <c r="H20" i="35"/>
  <c r="K20" i="35" s="1"/>
  <c r="J56" i="35"/>
  <c r="Q13" i="37" s="1"/>
  <c r="C25" i="35"/>
  <c r="C24" i="35"/>
  <c r="H24" i="35"/>
  <c r="K24" i="35" s="1"/>
  <c r="J49" i="35"/>
  <c r="Q6" i="37" s="1"/>
  <c r="M49" i="35"/>
  <c r="D34" i="35"/>
  <c r="C19" i="35"/>
  <c r="K19" i="35"/>
  <c r="M34" i="35"/>
  <c r="D41" i="35"/>
  <c r="D37" i="35"/>
  <c r="F5" i="35"/>
  <c r="M40" i="35"/>
  <c r="K25" i="35"/>
  <c r="D39" i="35"/>
  <c r="M36" i="35"/>
  <c r="K21" i="35"/>
  <c r="F4" i="35"/>
  <c r="G4" i="35" s="1"/>
  <c r="I4" i="35" s="1"/>
  <c r="C5" i="37" s="1"/>
  <c r="J48" i="35"/>
  <c r="Q5" i="37" s="1"/>
  <c r="C18" i="35"/>
  <c r="D33" i="35"/>
  <c r="E33" i="35" s="1"/>
  <c r="G33" i="35" s="1"/>
  <c r="M33" i="35"/>
  <c r="M48" i="35"/>
  <c r="H18" i="35"/>
  <c r="Q47" i="35"/>
  <c r="K47" i="35"/>
  <c r="H47" i="35"/>
  <c r="G47" i="35"/>
  <c r="F47" i="35"/>
  <c r="E47" i="35"/>
  <c r="D47" i="35"/>
  <c r="C47" i="35"/>
  <c r="B47" i="35"/>
  <c r="B32" i="35"/>
  <c r="G17" i="35"/>
  <c r="F17" i="35"/>
  <c r="G4" i="37" s="1"/>
  <c r="E17" i="35"/>
  <c r="H17" i="35" s="1"/>
  <c r="D17" i="35"/>
  <c r="D3" i="35"/>
  <c r="B3" i="35"/>
  <c r="T10" i="37" l="1"/>
  <c r="O53" i="35"/>
  <c r="T13" i="37"/>
  <c r="O56" i="35"/>
  <c r="T7" i="37"/>
  <c r="O50" i="35"/>
  <c r="T12" i="37"/>
  <c r="O55" i="35"/>
  <c r="T8" i="37"/>
  <c r="O51" i="35"/>
  <c r="T5" i="37"/>
  <c r="O48" i="35"/>
  <c r="T6" i="37"/>
  <c r="O49" i="35"/>
  <c r="T11" i="37"/>
  <c r="O54" i="35"/>
  <c r="T9" i="37"/>
  <c r="O52" i="35"/>
  <c r="J47" i="35"/>
  <c r="Q4" i="37" s="1"/>
  <c r="H4" i="35"/>
  <c r="B5" i="37" s="1"/>
  <c r="F3" i="35"/>
  <c r="H3" i="35" s="1"/>
  <c r="R17" i="35"/>
  <c r="M32" i="35"/>
  <c r="H4" i="37"/>
  <c r="H10" i="35"/>
  <c r="B11" i="37" s="1"/>
  <c r="H6" i="35"/>
  <c r="B7" i="37" s="1"/>
  <c r="K17" i="35"/>
  <c r="Q17" i="35"/>
  <c r="L22" i="35"/>
  <c r="N22" i="35" s="1"/>
  <c r="O22" i="35" s="1"/>
  <c r="P22" i="35" s="1"/>
  <c r="H11" i="35"/>
  <c r="B12" i="37" s="1"/>
  <c r="L54" i="35"/>
  <c r="H7" i="35"/>
  <c r="B8" i="37" s="1"/>
  <c r="M6" i="35"/>
  <c r="G7" i="35"/>
  <c r="I7" i="35" s="1"/>
  <c r="C8" i="37" s="1"/>
  <c r="O35" i="35"/>
  <c r="O41" i="35"/>
  <c r="L55" i="35"/>
  <c r="L51" i="35"/>
  <c r="L26" i="35"/>
  <c r="N26" i="35" s="1"/>
  <c r="O26" i="35" s="1"/>
  <c r="P26" i="35" s="1"/>
  <c r="O37" i="35"/>
  <c r="H8" i="35"/>
  <c r="B9" i="37" s="1"/>
  <c r="L50" i="35"/>
  <c r="F36" i="35"/>
  <c r="H36" i="35" s="1"/>
  <c r="F40" i="35"/>
  <c r="G12" i="35"/>
  <c r="I12" i="35" s="1"/>
  <c r="H12" i="35"/>
  <c r="B13" i="37" s="1"/>
  <c r="N39" i="35"/>
  <c r="P39" i="35" s="1"/>
  <c r="O39" i="35"/>
  <c r="H9" i="35"/>
  <c r="B10" i="37" s="1"/>
  <c r="M9" i="35"/>
  <c r="L53" i="35"/>
  <c r="L56" i="35"/>
  <c r="M8" i="35"/>
  <c r="L49" i="35"/>
  <c r="L52" i="35"/>
  <c r="N40" i="35"/>
  <c r="P40" i="35" s="1"/>
  <c r="O40" i="35"/>
  <c r="E34" i="35"/>
  <c r="G34" i="35" s="1"/>
  <c r="F34" i="35"/>
  <c r="I11" i="35"/>
  <c r="C12" i="37" s="1"/>
  <c r="F37" i="35"/>
  <c r="E37" i="35"/>
  <c r="G37" i="35" s="1"/>
  <c r="M19" i="35"/>
  <c r="L19" i="35"/>
  <c r="N19" i="35" s="1"/>
  <c r="L20" i="35"/>
  <c r="N20" i="35" s="1"/>
  <c r="M20" i="35"/>
  <c r="I10" i="35"/>
  <c r="C11" i="37" s="1"/>
  <c r="M23" i="35"/>
  <c r="L23" i="35"/>
  <c r="N23" i="35" s="1"/>
  <c r="L21" i="35"/>
  <c r="N21" i="35" s="1"/>
  <c r="M21" i="35"/>
  <c r="G5" i="35"/>
  <c r="E35" i="35"/>
  <c r="G35" i="35" s="1"/>
  <c r="F35" i="35"/>
  <c r="H5" i="35"/>
  <c r="B6" i="37" s="1"/>
  <c r="N36" i="35"/>
  <c r="P36" i="35" s="1"/>
  <c r="O36" i="35"/>
  <c r="L25" i="35"/>
  <c r="N25" i="35" s="1"/>
  <c r="M25" i="35"/>
  <c r="F41" i="35"/>
  <c r="E41" i="35"/>
  <c r="G41" i="35" s="1"/>
  <c r="O38" i="35"/>
  <c r="N38" i="35"/>
  <c r="P38" i="35" s="1"/>
  <c r="E38" i="35"/>
  <c r="G38" i="35" s="1"/>
  <c r="F38" i="35"/>
  <c r="O34" i="35"/>
  <c r="N34" i="35"/>
  <c r="P34" i="35" s="1"/>
  <c r="L24" i="35"/>
  <c r="N24" i="35" s="1"/>
  <c r="M24" i="35"/>
  <c r="E39" i="35"/>
  <c r="G39" i="35" s="1"/>
  <c r="F39" i="35"/>
  <c r="L48" i="35"/>
  <c r="F33" i="35"/>
  <c r="M4" i="35"/>
  <c r="C17" i="35"/>
  <c r="N33" i="35"/>
  <c r="P33" i="35" s="1"/>
  <c r="O33" i="35"/>
  <c r="K18" i="35"/>
  <c r="M47" i="35"/>
  <c r="D32" i="35"/>
  <c r="F32" i="35" s="1"/>
  <c r="U5" i="37" l="1"/>
  <c r="R5" i="37"/>
  <c r="M12" i="35"/>
  <c r="C13" i="37"/>
  <c r="R7" i="37"/>
  <c r="O47" i="35"/>
  <c r="U4" i="37" s="1"/>
  <c r="T4" i="37"/>
  <c r="U13" i="37"/>
  <c r="R12" i="37"/>
  <c r="R11" i="37"/>
  <c r="U12" i="37"/>
  <c r="U8" i="37"/>
  <c r="R8" i="37"/>
  <c r="L47" i="35"/>
  <c r="S17" i="35"/>
  <c r="F4" i="37" s="1"/>
  <c r="N6" i="35"/>
  <c r="E7" i="37" s="1"/>
  <c r="N32" i="35"/>
  <c r="P32" i="35" s="1"/>
  <c r="O32" i="35"/>
  <c r="H40" i="35"/>
  <c r="I40" i="35" s="1"/>
  <c r="Q37" i="35"/>
  <c r="R37" i="35" s="1"/>
  <c r="Q41" i="35"/>
  <c r="R41" i="35" s="1"/>
  <c r="S41" i="35" s="1"/>
  <c r="O13" i="37" s="1"/>
  <c r="H33" i="35"/>
  <c r="I33" i="35" s="1"/>
  <c r="I36" i="35"/>
  <c r="J36" i="35" s="1"/>
  <c r="Q35" i="35"/>
  <c r="R35" i="35" s="1"/>
  <c r="N4" i="35"/>
  <c r="E5" i="37" s="1"/>
  <c r="N9" i="35"/>
  <c r="E10" i="37" s="1"/>
  <c r="N8" i="35"/>
  <c r="E9" i="37" s="1"/>
  <c r="N12" i="35"/>
  <c r="E13" i="37" s="1"/>
  <c r="Q39" i="35"/>
  <c r="J9" i="37"/>
  <c r="J13" i="37"/>
  <c r="M11" i="35"/>
  <c r="N11" i="35" s="1"/>
  <c r="E12" i="37" s="1"/>
  <c r="U11" i="37"/>
  <c r="M10" i="35"/>
  <c r="N10" i="35" s="1"/>
  <c r="E11" i="37" s="1"/>
  <c r="R9" i="37"/>
  <c r="R13" i="37"/>
  <c r="R10" i="37"/>
  <c r="R6" i="37"/>
  <c r="M7" i="35"/>
  <c r="N7" i="35" s="1"/>
  <c r="E8" i="37" s="1"/>
  <c r="U10" i="37"/>
  <c r="U9" i="37"/>
  <c r="U6" i="37"/>
  <c r="U7" i="37"/>
  <c r="H38" i="35"/>
  <c r="I38" i="35" s="1"/>
  <c r="H37" i="35"/>
  <c r="H34" i="35"/>
  <c r="I34" i="35" s="1"/>
  <c r="O25" i="35"/>
  <c r="P25" i="35" s="1"/>
  <c r="O21" i="35"/>
  <c r="P21" i="35" s="1"/>
  <c r="H39" i="35"/>
  <c r="O19" i="35"/>
  <c r="P19" i="35" s="1"/>
  <c r="Q40" i="35"/>
  <c r="O24" i="35"/>
  <c r="P24" i="35" s="1"/>
  <c r="H35" i="35"/>
  <c r="Q36" i="35"/>
  <c r="R36" i="35" s="1"/>
  <c r="Q34" i="35"/>
  <c r="R34" i="35" s="1"/>
  <c r="Q38" i="35"/>
  <c r="R38" i="35" s="1"/>
  <c r="H41" i="35"/>
  <c r="I5" i="35"/>
  <c r="C6" i="37" s="1"/>
  <c r="O23" i="35"/>
  <c r="P23" i="35" s="1"/>
  <c r="O20" i="35"/>
  <c r="P20" i="35" s="1"/>
  <c r="Q33" i="35"/>
  <c r="M18" i="35"/>
  <c r="L18" i="35"/>
  <c r="N18" i="35" s="1"/>
  <c r="E32" i="35"/>
  <c r="G32" i="35" s="1"/>
  <c r="H32" i="35" s="1"/>
  <c r="I32" i="35" s="1"/>
  <c r="R4" i="37" l="1"/>
  <c r="Q32" i="35"/>
  <c r="L8" i="37"/>
  <c r="M8" i="37"/>
  <c r="I41" i="35"/>
  <c r="J41" i="35" s="1"/>
  <c r="J33" i="35"/>
  <c r="J40" i="35"/>
  <c r="S38" i="35"/>
  <c r="J38" i="35"/>
  <c r="M10" i="37" s="1"/>
  <c r="I35" i="35"/>
  <c r="J35" i="35" s="1"/>
  <c r="R39" i="35"/>
  <c r="S39" i="35" s="1"/>
  <c r="O11" i="37" s="1"/>
  <c r="S34" i="35"/>
  <c r="S35" i="35"/>
  <c r="O7" i="37" s="1"/>
  <c r="S37" i="35"/>
  <c r="O9" i="37" s="1"/>
  <c r="R40" i="35"/>
  <c r="S40" i="35" s="1"/>
  <c r="O12" i="37" s="1"/>
  <c r="R33" i="35"/>
  <c r="S33" i="35" s="1"/>
  <c r="O5" i="37" s="1"/>
  <c r="S36" i="35"/>
  <c r="J34" i="35"/>
  <c r="L6" i="37" s="1"/>
  <c r="I37" i="35"/>
  <c r="J37" i="35" s="1"/>
  <c r="I39" i="35"/>
  <c r="J39" i="35" s="1"/>
  <c r="N13" i="37"/>
  <c r="T41" i="35"/>
  <c r="P13" i="37" s="1"/>
  <c r="J10" i="37"/>
  <c r="J12" i="37"/>
  <c r="J7" i="37"/>
  <c r="J11" i="37"/>
  <c r="J6" i="37"/>
  <c r="J8" i="37"/>
  <c r="M5" i="35"/>
  <c r="N5" i="35" s="1"/>
  <c r="E6" i="37" s="1"/>
  <c r="L17" i="35"/>
  <c r="N17" i="35" s="1"/>
  <c r="O18" i="35"/>
  <c r="P18" i="35" s="1"/>
  <c r="J32" i="35"/>
  <c r="L4" i="37" s="1"/>
  <c r="B4" i="37"/>
  <c r="G3" i="35"/>
  <c r="I3" i="35" s="1"/>
  <c r="C4" i="37" s="1"/>
  <c r="N6" i="37" l="1"/>
  <c r="O6" i="37"/>
  <c r="T38" i="35"/>
  <c r="P10" i="37" s="1"/>
  <c r="O10" i="37"/>
  <c r="J5" i="37"/>
  <c r="N8" i="37"/>
  <c r="O8" i="37"/>
  <c r="R32" i="35"/>
  <c r="S32" i="35" s="1"/>
  <c r="O4" i="37" s="1"/>
  <c r="M6" i="37"/>
  <c r="T36" i="35"/>
  <c r="P8" i="37" s="1"/>
  <c r="T34" i="35"/>
  <c r="P6" i="37" s="1"/>
  <c r="N10" i="37"/>
  <c r="T40" i="35"/>
  <c r="P12" i="37" s="1"/>
  <c r="L10" i="37"/>
  <c r="N12" i="37"/>
  <c r="M13" i="37"/>
  <c r="L13" i="37"/>
  <c r="M11" i="37"/>
  <c r="L11" i="37"/>
  <c r="M9" i="37"/>
  <c r="L9" i="37"/>
  <c r="T33" i="35"/>
  <c r="P5" i="37" s="1"/>
  <c r="N5" i="37"/>
  <c r="T39" i="35"/>
  <c r="P11" i="37" s="1"/>
  <c r="N11" i="37"/>
  <c r="M7" i="37"/>
  <c r="L7" i="37"/>
  <c r="T37" i="35"/>
  <c r="P9" i="37" s="1"/>
  <c r="N9" i="37"/>
  <c r="N7" i="37"/>
  <c r="T35" i="35"/>
  <c r="P7" i="37" s="1"/>
  <c r="M12" i="37"/>
  <c r="L12" i="37"/>
  <c r="L5" i="37"/>
  <c r="M5" i="37"/>
  <c r="M17" i="35"/>
  <c r="O17" i="35" s="1"/>
  <c r="M4" i="37"/>
  <c r="K4" i="35" l="1"/>
  <c r="L4" i="35" s="1"/>
  <c r="W5" i="37" s="1"/>
  <c r="K7" i="35"/>
  <c r="L7" i="35" s="1"/>
  <c r="W8" i="37" s="1"/>
  <c r="K8" i="35"/>
  <c r="L8" i="35" s="1"/>
  <c r="W9" i="37" s="1"/>
  <c r="K6" i="35"/>
  <c r="L6" i="35" s="1"/>
  <c r="W7" i="37" s="1"/>
  <c r="K9" i="35"/>
  <c r="L9" i="35" s="1"/>
  <c r="W10" i="37" s="1"/>
  <c r="K10" i="35"/>
  <c r="L10" i="35" s="1"/>
  <c r="W11" i="37" s="1"/>
  <c r="K5" i="35"/>
  <c r="L5" i="35" s="1"/>
  <c r="W6" i="37" s="1"/>
  <c r="K11" i="35"/>
  <c r="L11" i="35" s="1"/>
  <c r="W12" i="37" s="1"/>
  <c r="K12" i="35"/>
  <c r="L12" i="35" s="1"/>
  <c r="W13" i="37" s="1"/>
  <c r="M3" i="35"/>
  <c r="N3" i="35" s="1"/>
  <c r="E4" i="37" s="1"/>
  <c r="K3" i="35"/>
  <c r="P17" i="35"/>
  <c r="N4" i="37"/>
  <c r="X12" i="37" l="1"/>
  <c r="V12" i="37"/>
  <c r="S12" i="37"/>
  <c r="K12" i="37"/>
  <c r="X9" i="37"/>
  <c r="S9" i="37"/>
  <c r="K9" i="37"/>
  <c r="V9" i="37"/>
  <c r="X11" i="37"/>
  <c r="V11" i="37"/>
  <c r="S11" i="37"/>
  <c r="K11" i="37"/>
  <c r="X8" i="37"/>
  <c r="S8" i="37"/>
  <c r="V8" i="37"/>
  <c r="K8" i="37"/>
  <c r="J4" i="37"/>
  <c r="X7" i="37"/>
  <c r="V7" i="37"/>
  <c r="S7" i="37"/>
  <c r="K7" i="37"/>
  <c r="X6" i="37"/>
  <c r="V6" i="37"/>
  <c r="S6" i="37"/>
  <c r="K6" i="37"/>
  <c r="X13" i="37"/>
  <c r="S13" i="37"/>
  <c r="V13" i="37"/>
  <c r="K13" i="37"/>
  <c r="X10" i="37"/>
  <c r="V10" i="37"/>
  <c r="S10" i="37"/>
  <c r="K10" i="37"/>
  <c r="X5" i="37"/>
  <c r="S5" i="37"/>
  <c r="V5" i="37"/>
  <c r="K5" i="37"/>
  <c r="L3" i="35"/>
  <c r="D5" i="37"/>
  <c r="D9" i="37"/>
  <c r="D8" i="37"/>
  <c r="D13" i="37"/>
  <c r="D10" i="37"/>
  <c r="D6" i="37"/>
  <c r="D11" i="37"/>
  <c r="D12" i="37"/>
  <c r="D7" i="37"/>
  <c r="T32" i="35"/>
  <c r="P4" i="37" s="1"/>
  <c r="K4" i="37" l="1"/>
  <c r="W4" i="37"/>
  <c r="X4" i="37"/>
  <c r="V4" i="37"/>
  <c r="S4" i="37"/>
  <c r="D4" i="37"/>
  <c r="B41" i="34" l="1"/>
  <c r="B40" i="34" l="1"/>
  <c r="D45" i="34"/>
  <c r="D46" i="34"/>
  <c r="D51" i="34"/>
  <c r="D44" i="34"/>
  <c r="D48" i="34"/>
  <c r="D54" i="34"/>
  <c r="D50" i="34"/>
  <c r="D55" i="34"/>
  <c r="D47" i="34"/>
  <c r="D52" i="34"/>
  <c r="D53" i="34"/>
  <c r="D49" i="34"/>
  <c r="B39" i="34" l="1"/>
  <c r="B21" i="34"/>
  <c r="D25" i="34" l="1"/>
  <c r="D30" i="34"/>
  <c r="D35" i="34"/>
  <c r="D26" i="34"/>
  <c r="D31" i="34"/>
  <c r="D24" i="34"/>
  <c r="D27" i="34"/>
  <c r="D32" i="34"/>
  <c r="D28" i="34"/>
  <c r="D34" i="34"/>
  <c r="D33" i="34"/>
  <c r="D29" i="34"/>
  <c r="C48" i="34"/>
  <c r="E48" i="34" s="1"/>
  <c r="C45" i="34"/>
  <c r="E45" i="34" s="1"/>
  <c r="C44" i="34"/>
  <c r="E44" i="34" s="1"/>
  <c r="C52" i="34"/>
  <c r="E52" i="34" s="1"/>
  <c r="C51" i="34"/>
  <c r="E51" i="34" s="1"/>
  <c r="C50" i="34"/>
  <c r="E50" i="34" s="1"/>
  <c r="C54" i="34"/>
  <c r="E54" i="34" s="1"/>
  <c r="C49" i="34"/>
  <c r="E49" i="34" s="1"/>
  <c r="C55" i="34"/>
  <c r="E55" i="34" s="1"/>
  <c r="C46" i="34"/>
  <c r="E46" i="34" s="1"/>
  <c r="C47" i="34"/>
  <c r="E47" i="34" s="1"/>
  <c r="C53" i="34"/>
  <c r="E53" i="34" s="1"/>
  <c r="B19" i="34" l="1"/>
  <c r="E56" i="34"/>
  <c r="B20" i="34"/>
  <c r="C28" i="34" l="1"/>
  <c r="E28" i="34" s="1"/>
  <c r="C35" i="34"/>
  <c r="E35" i="34" s="1"/>
  <c r="C34" i="34"/>
  <c r="E34" i="34" s="1"/>
  <c r="C31" i="34"/>
  <c r="E31" i="34" s="1"/>
  <c r="C33" i="34"/>
  <c r="E33" i="34" s="1"/>
  <c r="C29" i="34"/>
  <c r="E29" i="34" s="1"/>
  <c r="C26" i="34"/>
  <c r="E26" i="34" s="1"/>
  <c r="C32" i="34"/>
  <c r="E32" i="34" s="1"/>
  <c r="C27" i="34"/>
  <c r="E27" i="34" s="1"/>
  <c r="C24" i="34"/>
  <c r="E24" i="34" s="1"/>
  <c r="C25" i="34"/>
  <c r="E25" i="34" s="1"/>
  <c r="C30" i="34"/>
  <c r="E30" i="34" s="1"/>
  <c r="E36" i="34" l="1"/>
</calcChain>
</file>

<file path=xl/sharedStrings.xml><?xml version="1.0" encoding="utf-8"?>
<sst xmlns="http://schemas.openxmlformats.org/spreadsheetml/2006/main" count="354" uniqueCount="263">
  <si>
    <t>%</t>
  </si>
  <si>
    <t>A</t>
  </si>
  <si>
    <t>Date:</t>
  </si>
  <si>
    <t>C</t>
  </si>
  <si>
    <r>
      <t>Minor Flow Depth, Y</t>
    </r>
    <r>
      <rPr>
        <vertAlign val="subscript"/>
        <sz val="12"/>
        <color theme="1"/>
        <rFont val="Arial"/>
        <family val="2"/>
      </rPr>
      <t xml:space="preserve">minor </t>
    </r>
    <r>
      <rPr>
        <sz val="12"/>
        <color theme="1"/>
        <rFont val="Arial"/>
        <family val="2"/>
      </rPr>
      <t>(m)</t>
    </r>
  </si>
  <si>
    <r>
      <t>Swale Actual Velocity, V</t>
    </r>
    <r>
      <rPr>
        <vertAlign val="subscript"/>
        <sz val="12"/>
        <color theme="1"/>
        <rFont val="Arial"/>
        <family val="2"/>
      </rPr>
      <t xml:space="preserve">minor </t>
    </r>
    <r>
      <rPr>
        <sz val="12"/>
        <color theme="1"/>
        <rFont val="Arial"/>
        <family val="2"/>
      </rPr>
      <t>(m/s)</t>
    </r>
  </si>
  <si>
    <r>
      <t>Swale Actual Velocity, V</t>
    </r>
    <r>
      <rPr>
        <vertAlign val="subscript"/>
        <sz val="12"/>
        <color theme="1"/>
        <rFont val="Arial"/>
        <family val="2"/>
      </rPr>
      <t xml:space="preserve">major </t>
    </r>
    <r>
      <rPr>
        <sz val="12"/>
        <color theme="1"/>
        <rFont val="Arial"/>
        <family val="2"/>
      </rPr>
      <t>(m/s)</t>
    </r>
  </si>
  <si>
    <r>
      <t>V</t>
    </r>
    <r>
      <rPr>
        <vertAlign val="subscript"/>
        <sz val="12"/>
        <color theme="1"/>
        <rFont val="Arial"/>
        <family val="2"/>
      </rPr>
      <t>major</t>
    </r>
    <r>
      <rPr>
        <sz val="12"/>
        <color theme="1"/>
        <rFont val="Arial"/>
        <family val="2"/>
      </rPr>
      <t xml:space="preserve"> x Y</t>
    </r>
    <r>
      <rPr>
        <vertAlign val="subscript"/>
        <sz val="12"/>
        <color theme="1"/>
        <rFont val="Arial"/>
        <family val="2"/>
      </rPr>
      <t>major</t>
    </r>
    <r>
      <rPr>
        <sz val="12"/>
        <color theme="1"/>
        <rFont val="Arial"/>
        <family val="2"/>
      </rPr>
      <t xml:space="preserve"> 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/s)</t>
    </r>
  </si>
  <si>
    <r>
      <t>Weir Coefficient, C</t>
    </r>
    <r>
      <rPr>
        <vertAlign val="subscript"/>
        <sz val="12"/>
        <rFont val="Arial"/>
        <family val="2"/>
      </rPr>
      <t>w</t>
    </r>
  </si>
  <si>
    <t>Weir Condition Check</t>
  </si>
  <si>
    <t>Orifice Condition Check</t>
  </si>
  <si>
    <r>
      <t>Orifice Coefficient, C</t>
    </r>
    <r>
      <rPr>
        <vertAlign val="subscript"/>
        <sz val="12"/>
        <color theme="1"/>
        <rFont val="Arial"/>
        <family val="2"/>
      </rPr>
      <t>d</t>
    </r>
  </si>
  <si>
    <t>Roughness Coefficient, n</t>
  </si>
  <si>
    <r>
      <t>Total Weir Discharge, Q</t>
    </r>
    <r>
      <rPr>
        <vertAlign val="subscript"/>
        <sz val="12"/>
        <color theme="1"/>
        <rFont val="Arial"/>
        <family val="2"/>
      </rPr>
      <t xml:space="preserve">weir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</si>
  <si>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Total Orifice Discharge, Q</t>
    </r>
    <r>
      <rPr>
        <vertAlign val="subscript"/>
        <sz val="12"/>
        <color theme="1"/>
        <rFont val="Arial"/>
        <family val="2"/>
      </rPr>
      <t xml:space="preserve">grate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</si>
  <si>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Total Opening Area, A</t>
    </r>
    <r>
      <rPr>
        <vertAlign val="subscript"/>
        <sz val="12"/>
        <color theme="1"/>
        <rFont val="Arial"/>
        <family val="2"/>
      </rPr>
      <t xml:space="preserve">grate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</si>
  <si>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Max Flow Depth Above Sump, h</t>
    </r>
    <r>
      <rPr>
        <vertAlign val="subscript"/>
        <sz val="12"/>
        <rFont val="Arial"/>
        <family val="2"/>
      </rPr>
      <t>w</t>
    </r>
    <r>
      <rPr>
        <sz val="12"/>
        <rFont val="Arial"/>
        <family val="2"/>
      </rPr>
      <t xml:space="preserve"> (m)</t>
    </r>
  </si>
  <si>
    <t>Sump Shape</t>
  </si>
  <si>
    <t>Bioretention Basin</t>
  </si>
  <si>
    <t>Bioretention Swale</t>
  </si>
  <si>
    <t>3mth RF intensity (mm/hr)</t>
  </si>
  <si>
    <t>RF duration (min)</t>
  </si>
  <si>
    <t>MAX</t>
  </si>
  <si>
    <r>
      <t>Q</t>
    </r>
    <r>
      <rPr>
        <b/>
        <vertAlign val="subscript"/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</si>
  <si>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out</t>
    </r>
    <r>
      <rPr>
        <b/>
        <sz val="11"/>
        <color theme="1"/>
        <rFont val="Calibri"/>
        <family val="2"/>
        <scheme val="minor"/>
      </rPr>
      <t xml:space="preserve">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/s)</t>
    </r>
  </si>
  <si>
    <r>
      <t>Storage V (m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</si>
  <si>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Q</t>
    </r>
    <r>
      <rPr>
        <vertAlign val="subscript"/>
        <sz val="11"/>
        <color theme="1"/>
        <rFont val="Calibri"/>
        <family val="2"/>
        <scheme val="minor"/>
      </rPr>
      <t>max</t>
    </r>
  </si>
  <si>
    <r>
      <t>Swale Actual Flowrate, Q</t>
    </r>
    <r>
      <rPr>
        <vertAlign val="subscript"/>
        <sz val="12"/>
        <color theme="1"/>
        <rFont val="Arial"/>
        <family val="2"/>
      </rPr>
      <t>actual</t>
    </r>
    <r>
      <rPr>
        <sz val="12"/>
        <color theme="1"/>
        <rFont val="Arial"/>
        <family val="2"/>
      </rPr>
      <t xml:space="preserve">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</si>
  <si>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Major Flow Depth, Y</t>
    </r>
    <r>
      <rPr>
        <vertAlign val="subscript"/>
        <sz val="12"/>
        <color theme="1"/>
        <rFont val="Arial"/>
        <family val="2"/>
      </rPr>
      <t xml:space="preserve">major </t>
    </r>
    <r>
      <rPr>
        <sz val="12"/>
        <color theme="1"/>
        <rFont val="Arial"/>
        <family val="2"/>
      </rPr>
      <t>(m)</t>
    </r>
  </si>
  <si>
    <t>Overflow weir</t>
  </si>
  <si>
    <t>Type of overflow structure</t>
  </si>
  <si>
    <t>Rectangular sump</t>
  </si>
  <si>
    <t>Circular sump</t>
  </si>
  <si>
    <t>Name</t>
  </si>
  <si>
    <t>Imperv catchment
(m2)</t>
  </si>
  <si>
    <t>Perv catchment
(m2)</t>
  </si>
  <si>
    <t>Imperv Runoff Coeff
(C)</t>
  </si>
  <si>
    <t>Perv Runoff Coeff
(C)</t>
  </si>
  <si>
    <t>Weighted Runoff Coeff
(C)</t>
  </si>
  <si>
    <t xml:space="preserve">Catchment </t>
  </si>
  <si>
    <t>Climate Change modifier (%)</t>
  </si>
  <si>
    <t>Total Area
(m2)</t>
  </si>
  <si>
    <t>Total Area
(ha)</t>
  </si>
  <si>
    <r>
      <t>Time of Concentration, t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(min)</t>
    </r>
  </si>
  <si>
    <r>
      <t>Minor Rainfall intensity I</t>
    </r>
    <r>
      <rPr>
        <vertAlign val="subscript"/>
        <sz val="12"/>
        <color theme="1"/>
        <rFont val="Arial"/>
        <family val="2"/>
      </rPr>
      <t>10</t>
    </r>
    <r>
      <rPr>
        <sz val="12"/>
        <color theme="1"/>
        <rFont val="Arial"/>
        <family val="2"/>
      </rPr>
      <t xml:space="preserve">
(mm/hr)</t>
    </r>
  </si>
  <si>
    <r>
      <t>Major Rainfall intensity I</t>
    </r>
    <r>
      <rPr>
        <vertAlign val="subscript"/>
        <sz val="12"/>
        <color theme="1"/>
        <rFont val="Arial"/>
        <family val="2"/>
      </rPr>
      <t>100</t>
    </r>
    <r>
      <rPr>
        <sz val="12"/>
        <color theme="1"/>
        <rFont val="Arial"/>
        <family val="2"/>
      </rPr>
      <t xml:space="preserve">
(mm/hr)</t>
    </r>
  </si>
  <si>
    <r>
      <t>Minor Peak Runoff, Q</t>
    </r>
    <r>
      <rPr>
        <vertAlign val="subscript"/>
        <sz val="12"/>
        <color theme="1"/>
        <rFont val="Arial"/>
        <family val="2"/>
      </rPr>
      <t xml:space="preserve">r10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</si>
  <si>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Major Peak Runoff, Q</t>
    </r>
    <r>
      <rPr>
        <vertAlign val="subscript"/>
        <sz val="12"/>
        <color theme="1"/>
        <rFont val="Arial"/>
        <family val="2"/>
      </rPr>
      <t xml:space="preserve">r100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</si>
  <si>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t>Runoff</t>
  </si>
  <si>
    <t>Top width
(m)</t>
  </si>
  <si>
    <t>Base width
(m)</t>
  </si>
  <si>
    <t>Swale depth
(m)</t>
  </si>
  <si>
    <t>Side slope
1:x</t>
  </si>
  <si>
    <t>Long slope
1:x</t>
  </si>
  <si>
    <t>Depth/ Veg. Ht
(%)</t>
  </si>
  <si>
    <t>Manning's roughness, n</t>
  </si>
  <si>
    <t>Top Flow Width
(m)</t>
  </si>
  <si>
    <t>Side slope length
(m)</t>
  </si>
  <si>
    <r>
      <t>Flow Area, A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</si>
  <si>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Wetted P (m)</t>
  </si>
  <si>
    <t>Hydraulic R (m)</t>
  </si>
  <si>
    <r>
      <t>Swale Q</t>
    </r>
    <r>
      <rPr>
        <vertAlign val="subscript"/>
        <sz val="12"/>
        <color theme="1"/>
        <rFont val="Arial"/>
        <family val="2"/>
      </rPr>
      <t>c</t>
    </r>
    <r>
      <rPr>
        <sz val="12"/>
        <color theme="1"/>
        <rFont val="Arial"/>
        <family val="2"/>
      </rPr>
      <t xml:space="preserve">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</si>
  <si>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t>Minor Flow Top Width (m)</t>
  </si>
  <si>
    <t>Minor Flow Side Slope Length (m)</t>
  </si>
  <si>
    <r>
      <t>Minor Flow Area, A (m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</si>
  <si>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t>Minor Flow Wetted Perimeter, P (m)</t>
  </si>
  <si>
    <t>Minor Flow Hydraulic Radius, R (m)</t>
  </si>
  <si>
    <t>Major Flow Top Width (m)</t>
  </si>
  <si>
    <t>Major Flow Side Slope Length (m)</t>
  </si>
  <si>
    <r>
      <t>Major Flow Area, A (m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)</t>
    </r>
  </si>
  <si>
    <t>Major Flow Wetted Perimeter, P (m)</t>
  </si>
  <si>
    <t>Major Flow Hydraulic Radius, R (m)</t>
  </si>
  <si>
    <t>Minor Flow Velocity Check</t>
  </si>
  <si>
    <t>Major Flow Velocity Check</t>
  </si>
  <si>
    <t>Swale Hydraulic Capacity Check</t>
  </si>
  <si>
    <t>No. of overflow structure</t>
  </si>
  <si>
    <t>Rectangular sump length 
(m)</t>
  </si>
  <si>
    <t>Rectangular sump width
(m)</t>
  </si>
  <si>
    <t>Circular sump dia.
(m)</t>
  </si>
  <si>
    <t>Weir length
(m)</t>
  </si>
  <si>
    <t>Total weir length
(m)</t>
  </si>
  <si>
    <t>Blockage Factor</t>
  </si>
  <si>
    <t>Overflow Structure</t>
  </si>
  <si>
    <r>
      <t>Flow Depth (15% FB),Y</t>
    </r>
    <r>
      <rPr>
        <vertAlign val="subscript"/>
        <sz val="12"/>
        <color theme="1"/>
        <rFont val="Arial"/>
        <family val="2"/>
      </rPr>
      <t>n</t>
    </r>
    <r>
      <rPr>
        <sz val="12"/>
        <color theme="1"/>
        <rFont val="Arial"/>
        <family val="2"/>
      </rPr>
      <t xml:space="preserve"> (m)</t>
    </r>
  </si>
  <si>
    <t>3-5%</t>
  </si>
  <si>
    <t>Tally</t>
  </si>
  <si>
    <t>&gt;4</t>
  </si>
  <si>
    <t>1-4%</t>
  </si>
  <si>
    <t>Fig 6.7</t>
  </si>
  <si>
    <t>Velocity Check</t>
  </si>
  <si>
    <t>Swale Dimensions</t>
  </si>
  <si>
    <t>&lt; 0.5</t>
  </si>
  <si>
    <t>&lt; 2.0</t>
  </si>
  <si>
    <r>
      <t>Q</t>
    </r>
    <r>
      <rPr>
        <vertAlign val="subscript"/>
        <sz val="12"/>
        <color theme="1"/>
        <rFont val="Arial"/>
        <family val="2"/>
      </rPr>
      <t xml:space="preserve">c 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r10</t>
    </r>
  </si>
  <si>
    <t>&lt; 0.4</t>
  </si>
  <si>
    <t>Dev</t>
  </si>
  <si>
    <r>
      <t>Minor Peak Runoff, Q</t>
    </r>
    <r>
      <rPr>
        <vertAlign val="subscript"/>
        <sz val="12"/>
        <color theme="1"/>
        <rFont val="Arial"/>
        <family val="2"/>
      </rPr>
      <t xml:space="preserve">10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</si>
  <si>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Major Peak Runoff, Q</t>
    </r>
    <r>
      <rPr>
        <vertAlign val="subscript"/>
        <sz val="12"/>
        <color theme="1"/>
        <rFont val="Arial"/>
        <family val="2"/>
      </rPr>
      <t xml:space="preserve">100 </t>
    </r>
    <r>
      <rPr>
        <sz val="12"/>
        <color theme="1"/>
        <rFont val="Arial"/>
        <family val="2"/>
      </rPr>
      <t>(m</t>
    </r>
    <r>
      <rPr>
        <vertAlign val="superscript"/>
        <sz val="12"/>
        <color theme="1"/>
        <rFont val="Arial"/>
        <family val="2"/>
      </rPr>
      <t>3/</t>
    </r>
    <r>
      <rPr>
        <sz val="12"/>
        <color theme="1"/>
        <rFont val="Arial"/>
        <family val="2"/>
      </rPr>
      <t>s)</t>
    </r>
  </si>
  <si>
    <r>
      <t>Q</t>
    </r>
    <r>
      <rPr>
        <vertAlign val="subscript"/>
        <sz val="12"/>
        <color theme="1"/>
        <rFont val="Arial"/>
        <family val="2"/>
      </rPr>
      <t>weir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10</t>
    </r>
  </si>
  <si>
    <r>
      <t>Q</t>
    </r>
    <r>
      <rPr>
        <vertAlign val="subscript"/>
        <sz val="12"/>
        <color theme="1"/>
        <rFont val="Arial"/>
        <family val="2"/>
      </rPr>
      <t>grate</t>
    </r>
    <r>
      <rPr>
        <sz val="12"/>
        <color theme="1"/>
        <rFont val="Arial"/>
        <family val="2"/>
      </rPr>
      <t>&gt;Q</t>
    </r>
    <r>
      <rPr>
        <vertAlign val="subscript"/>
        <sz val="12"/>
        <color theme="1"/>
        <rFont val="Arial"/>
        <family val="2"/>
      </rPr>
      <t>10</t>
    </r>
  </si>
  <si>
    <t>Acceptable deviation +/- 10%</t>
  </si>
  <si>
    <r>
      <t>Discharge Pipe Capacity (m</t>
    </r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>/s)</t>
    </r>
  </si>
  <si>
    <r>
      <t>Q &gt; Q</t>
    </r>
    <r>
      <rPr>
        <vertAlign val="subscript"/>
        <sz val="12"/>
        <color theme="1"/>
        <rFont val="Arial"/>
        <family val="2"/>
      </rPr>
      <t>10</t>
    </r>
  </si>
  <si>
    <t>Overflow weir length 
(m)</t>
  </si>
  <si>
    <t>Is swale side slope 1:4 or gentler?</t>
  </si>
  <si>
    <t>Manning's n</t>
  </si>
  <si>
    <t>Treatment</t>
  </si>
  <si>
    <t>Swale length
(m)</t>
  </si>
  <si>
    <r>
      <t>Equiv. Imperv catchment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</si>
  <si>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r>
      <t>Swale area (base width x length)
(m</t>
    </r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)</t>
    </r>
  </si>
  <si>
    <t>% Swale area / Catchment area</t>
  </si>
  <si>
    <t>Swale depth, H
(m)</t>
  </si>
  <si>
    <t>Project Title :</t>
  </si>
  <si>
    <t>Revision No.:</t>
  </si>
  <si>
    <t>Brief Description of Project:</t>
  </si>
  <si>
    <t>Notes:</t>
  </si>
  <si>
    <t>- Project scope
- ABC Waters concept design</t>
  </si>
  <si>
    <t>Total site area:</t>
  </si>
  <si>
    <t>Hydraulic Calculation Submission for ABC Waters Design Features - Vegetated Swales</t>
  </si>
  <si>
    <t>(ha)</t>
  </si>
  <si>
    <t>(%)</t>
  </si>
  <si>
    <t>Are Design Features within drainage reserve/green buffer (Y/N)?</t>
  </si>
  <si>
    <t>Are Design Features used for meeting detention requirement per COP Clause 7.1.5 (Y/N)?</t>
  </si>
  <si>
    <t>ABCWP Endorsement:</t>
  </si>
  <si>
    <t>Name:</t>
  </si>
  <si>
    <t>ABCWP no.:</t>
  </si>
  <si>
    <t>Overflow structure 
(select from drop down)</t>
  </si>
  <si>
    <t>% treatment area</t>
  </si>
  <si>
    <t>Is % treatment area within 3-5%?</t>
  </si>
  <si>
    <r>
      <t>Equiv. Imperv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</si>
  <si>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Swale area (base width x length)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</si>
  <si>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Imperv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</si>
  <si>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Perv catchment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</si>
  <si>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Total Catchment Area
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</si>
  <si>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Time of Concentration, t</t>
    </r>
    <r>
      <rPr>
        <vertAlign val="subscript"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(min)</t>
    </r>
  </si>
  <si>
    <r>
      <t>Swale Top width, W</t>
    </r>
    <r>
      <rPr>
        <vertAlign val="subscript"/>
        <sz val="10"/>
        <color theme="1"/>
        <rFont val="Arial"/>
        <family val="2"/>
      </rPr>
      <t>t</t>
    </r>
    <r>
      <rPr>
        <sz val="10"/>
        <color theme="1"/>
        <rFont val="Arial"/>
        <family val="2"/>
      </rPr>
      <t xml:space="preserve">
(m)</t>
    </r>
  </si>
  <si>
    <r>
      <t>Swale Base width, W</t>
    </r>
    <r>
      <rPr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
(m)</t>
    </r>
  </si>
  <si>
    <r>
      <t>Max Flow Depth (15% freeboard), Y</t>
    </r>
    <r>
      <rPr>
        <vertAlign val="subscript"/>
        <sz val="10"/>
        <color theme="1"/>
        <rFont val="Arial"/>
        <family val="2"/>
      </rPr>
      <t>n</t>
    </r>
    <r>
      <rPr>
        <sz val="10"/>
        <color theme="1"/>
        <rFont val="Arial"/>
        <family val="2"/>
      </rPr>
      <t xml:space="preserve"> (m)</t>
    </r>
  </si>
  <si>
    <r>
      <t>Swale Q</t>
    </r>
    <r>
      <rPr>
        <vertAlign val="subscript"/>
        <sz val="10"/>
        <color theme="1"/>
        <rFont val="Arial"/>
        <family val="2"/>
      </rPr>
      <t>swale</t>
    </r>
    <r>
      <rPr>
        <sz val="10"/>
        <color theme="1"/>
        <rFont val="Arial"/>
        <family val="2"/>
      </rPr>
      <t xml:space="preserve"> (m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/s)</t>
    </r>
  </si>
  <si>
    <r>
      <t>Is Q</t>
    </r>
    <r>
      <rPr>
        <vertAlign val="subscript"/>
        <sz val="10"/>
        <color theme="1"/>
        <rFont val="Arial"/>
        <family val="2"/>
      </rPr>
      <t>swale</t>
    </r>
    <r>
      <rPr>
        <sz val="10"/>
        <color theme="1"/>
        <rFont val="Arial"/>
        <family val="2"/>
      </rPr>
      <t xml:space="preserve"> &gt; Q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>?</t>
    </r>
  </si>
  <si>
    <r>
      <t>Weir Coefficient, C</t>
    </r>
    <r>
      <rPr>
        <vertAlign val="subscript"/>
        <sz val="10"/>
        <rFont val="Arial"/>
        <family val="2"/>
      </rPr>
      <t>w</t>
    </r>
  </si>
  <si>
    <r>
      <t>10yr ARI Rainfall intensity I</t>
    </r>
    <r>
      <rPr>
        <vertAlign val="subscript"/>
        <sz val="10"/>
        <color theme="1"/>
        <rFont val="Arial"/>
        <family val="2"/>
      </rPr>
      <t>10</t>
    </r>
    <r>
      <rPr>
        <sz val="10"/>
        <color theme="1"/>
        <rFont val="Arial"/>
        <family val="2"/>
      </rPr>
      <t xml:space="preserve">
(mm/hr)</t>
    </r>
  </si>
  <si>
    <r>
      <t>100yr ARI Rainfall intensity I</t>
    </r>
    <r>
      <rPr>
        <vertAlign val="subscript"/>
        <sz val="10"/>
        <color theme="1"/>
        <rFont val="Arial"/>
        <family val="2"/>
      </rPr>
      <t>100</t>
    </r>
    <r>
      <rPr>
        <sz val="10"/>
        <color theme="1"/>
        <rFont val="Arial"/>
        <family val="2"/>
      </rPr>
      <t xml:space="preserve">
(mm/hr)</t>
    </r>
  </si>
  <si>
    <r>
      <t>10yr ARI Peak Runoff, Q</t>
    </r>
    <r>
      <rPr>
        <vertAlign val="subscript"/>
        <sz val="10"/>
        <color theme="1"/>
        <rFont val="Arial"/>
        <family val="2"/>
      </rPr>
      <t xml:space="preserve">10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</si>
  <si>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r>
      <t>100yr ARI Peak Runoff, Q</t>
    </r>
    <r>
      <rPr>
        <vertAlign val="subscript"/>
        <sz val="10"/>
        <color theme="1"/>
        <rFont val="Arial"/>
        <family val="2"/>
      </rPr>
      <t xml:space="preserve">100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3/</t>
    </r>
    <r>
      <rPr>
        <sz val="10"/>
        <color theme="1"/>
        <rFont val="Arial"/>
        <family val="2"/>
      </rPr>
      <t>s)</t>
    </r>
  </si>
  <si>
    <t>10yr ARI Flow Velocity Check</t>
  </si>
  <si>
    <t>100yr ARI Flow Velocity Check</t>
  </si>
  <si>
    <t>Select</t>
  </si>
  <si>
    <t>Yes/No</t>
  </si>
  <si>
    <t>Yes</t>
  </si>
  <si>
    <t>No</t>
  </si>
  <si>
    <t>Longitudinal slope
1:x</t>
  </si>
  <si>
    <t>*Check if 15% freeboard provided</t>
  </si>
  <si>
    <t>For Vegetation Scour Check (10/100yr ARI flow depth)</t>
  </si>
  <si>
    <t>Site area treated by Design Features:</t>
  </si>
  <si>
    <r>
      <t>Max Flow Depth Above Weir, h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(m)</t>
    </r>
  </si>
  <si>
    <t>Weir Check</t>
  </si>
  <si>
    <t>Orifice  Check</t>
  </si>
  <si>
    <t>Total weir length</t>
  </si>
  <si>
    <t>Discharge pipe</t>
  </si>
  <si>
    <t>Manning's</t>
  </si>
  <si>
    <t>Other</t>
  </si>
  <si>
    <t>Colebrook-White</t>
  </si>
  <si>
    <t>Project Ref :</t>
  </si>
  <si>
    <t>Flow Depth/ Plant Height
(%)</t>
  </si>
  <si>
    <t>Developer:</t>
  </si>
  <si>
    <t>Lead Consultant:</t>
  </si>
  <si>
    <t>2) This sheet is for up to 10 design features; please use a separate file for additional design features if insufficient</t>
  </si>
  <si>
    <t>1) Fill in all parameters where relevant. The designer is responsible for the adequateness of design and accuracy of the submitted figures.</t>
  </si>
  <si>
    <t>(dd/mm/yyyy)</t>
  </si>
  <si>
    <t>Link to download</t>
  </si>
  <si>
    <t>Sheet No.:</t>
  </si>
  <si>
    <t>of</t>
  </si>
  <si>
    <t>3) There are no calculations built into this sheet. The designer is encouraged to input his/her own equations as necessary for future submissions.</t>
  </si>
  <si>
    <t>4) For details, refer to the "Engineering Procedures for ABC Waters Design Features".</t>
  </si>
  <si>
    <t>% Total site area treated by Design Features:</t>
  </si>
  <si>
    <t>(1) Catchment Characteristics</t>
  </si>
  <si>
    <t>(2) Runoff</t>
  </si>
  <si>
    <t>(3) Treatment</t>
  </si>
  <si>
    <t>Remarks</t>
  </si>
  <si>
    <t>(4) Swale Hydraulic Capacity Check</t>
  </si>
  <si>
    <t>(5) Vegetation Scour Check</t>
  </si>
  <si>
    <t>Equation used*:</t>
  </si>
  <si>
    <t>*to fill in parameters and calculations based on equation used</t>
  </si>
  <si>
    <t>(6) Overflow Structure</t>
  </si>
  <si>
    <t>Average Plant Height
(m)</t>
  </si>
  <si>
    <t xml:space="preserve">(7) Calculation for final discharge pipe capacity: </t>
  </si>
  <si>
    <t>Project Address:</t>
  </si>
  <si>
    <t xml:space="preserve">(fill in 6 digit postal code </t>
  </si>
  <si>
    <t>or TS/MK number)</t>
  </si>
  <si>
    <r>
      <rPr>
        <i/>
        <vertAlign val="superscript"/>
        <sz val="10"/>
        <rFont val="Arial"/>
        <family val="2"/>
      </rPr>
      <t>#</t>
    </r>
    <r>
      <rPr>
        <i/>
        <sz val="10"/>
        <rFont val="Arial"/>
        <family val="2"/>
      </rPr>
      <t>Q</t>
    </r>
    <r>
      <rPr>
        <i/>
        <vertAlign val="subscript"/>
        <sz val="10"/>
        <rFont val="Arial"/>
        <family val="2"/>
      </rPr>
      <t>10</t>
    </r>
    <r>
      <rPr>
        <i/>
        <sz val="10"/>
        <rFont val="Arial"/>
        <family val="2"/>
      </rPr>
      <t xml:space="preserve"> from step (2)</t>
    </r>
  </si>
  <si>
    <r>
      <t>10yr ARI Flow Depth, Y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>*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(m)</t>
    </r>
  </si>
  <si>
    <r>
      <t>Y</t>
    </r>
    <r>
      <rPr>
        <vertAlign val="subscript"/>
        <sz val="10"/>
        <rFont val="Arial"/>
        <family val="2"/>
      </rPr>
      <t xml:space="preserve">10 </t>
    </r>
    <r>
      <rPr>
        <sz val="10"/>
        <rFont val="Arial"/>
        <family val="2"/>
      </rPr>
      <t>/ Plant Height
(%)</t>
    </r>
  </si>
  <si>
    <r>
      <t>Manning's n
under Y</t>
    </r>
    <r>
      <rPr>
        <vertAlign val="subscript"/>
        <sz val="10"/>
        <rFont val="Arial"/>
        <family val="2"/>
      </rPr>
      <t>10</t>
    </r>
  </si>
  <si>
    <r>
      <t>Swale Flow Velocity, V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(m/s)</t>
    </r>
  </si>
  <si>
    <r>
      <t>Is V</t>
    </r>
    <r>
      <rPr>
        <vertAlign val="subscript"/>
        <sz val="10"/>
        <rFont val="Arial"/>
        <family val="2"/>
      </rPr>
      <t>10</t>
    </r>
    <r>
      <rPr>
        <sz val="10"/>
        <rFont val="Arial"/>
        <family val="2"/>
      </rPr>
      <t xml:space="preserve"> &lt; 0.5 m/s?</t>
    </r>
  </si>
  <si>
    <r>
      <t>100yr ARI Flow Depth, Y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>*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(m)</t>
    </r>
  </si>
  <si>
    <r>
      <t>Y</t>
    </r>
    <r>
      <rPr>
        <vertAlign val="subscript"/>
        <sz val="10"/>
        <rFont val="Arial"/>
        <family val="2"/>
      </rPr>
      <t xml:space="preserve">100 </t>
    </r>
    <r>
      <rPr>
        <sz val="10"/>
        <rFont val="Arial"/>
        <family val="2"/>
      </rPr>
      <t>/ Plant Height
(%)</t>
    </r>
  </si>
  <si>
    <r>
      <t>Manning's n under Y</t>
    </r>
    <r>
      <rPr>
        <vertAlign val="subscript"/>
        <sz val="10"/>
        <rFont val="Arial"/>
        <family val="2"/>
      </rPr>
      <t>100</t>
    </r>
  </si>
  <si>
    <r>
      <t>Swale Flow Velocity, V</t>
    </r>
    <r>
      <rPr>
        <vertAlign val="subscript"/>
        <sz val="10"/>
        <rFont val="Arial"/>
        <family val="2"/>
      </rPr>
      <t>100</t>
    </r>
    <r>
      <rPr>
        <vertAlign val="superscript"/>
        <sz val="10"/>
        <rFont val="Arial"/>
        <family val="2"/>
      </rPr>
      <t>#</t>
    </r>
    <r>
      <rPr>
        <vertAlign val="subscript"/>
        <sz val="10"/>
        <rFont val="Arial"/>
        <family val="2"/>
      </rPr>
      <t xml:space="preserve"> </t>
    </r>
    <r>
      <rPr>
        <sz val="10"/>
        <rFont val="Arial"/>
        <family val="2"/>
      </rPr>
      <t>(m/s)</t>
    </r>
  </si>
  <si>
    <r>
      <t>Is 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&lt; 2 m/s?</t>
    </r>
  </si>
  <si>
    <r>
      <t>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x Y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/s)</t>
    </r>
  </si>
  <si>
    <r>
      <t>Is V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x Y</t>
    </r>
    <r>
      <rPr>
        <vertAlign val="subscript"/>
        <sz val="10"/>
        <rFont val="Arial"/>
        <family val="2"/>
      </rPr>
      <t>100</t>
    </r>
    <r>
      <rPr>
        <sz val="10"/>
        <rFont val="Arial"/>
        <family val="2"/>
      </rPr>
      <t xml:space="preserve"> &lt; 0.4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/s?</t>
    </r>
  </si>
  <si>
    <r>
      <t>*Flow depth Y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 xml:space="preserve"> corresponding to flow rate Q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 xml:space="preserve"> from step (2)</t>
    </r>
  </si>
  <si>
    <r>
      <rPr>
        <i/>
        <vertAlign val="superscript"/>
        <sz val="10"/>
        <rFont val="Arial"/>
        <family val="2"/>
      </rPr>
      <t>#</t>
    </r>
    <r>
      <rPr>
        <i/>
        <sz val="10"/>
        <rFont val="Arial"/>
        <family val="2"/>
      </rPr>
      <t>V</t>
    </r>
    <r>
      <rPr>
        <i/>
        <vertAlign val="subscript"/>
        <sz val="10"/>
        <rFont val="Arial"/>
        <family val="2"/>
      </rPr>
      <t xml:space="preserve">10/100 </t>
    </r>
    <r>
      <rPr>
        <i/>
        <sz val="10"/>
        <rFont val="Arial"/>
        <family val="2"/>
      </rPr>
      <t>= [Q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 xml:space="preserve"> from step (2)] / [swale cross-sectional flow area at depth Y</t>
    </r>
    <r>
      <rPr>
        <i/>
        <vertAlign val="subscript"/>
        <sz val="10"/>
        <rFont val="Arial"/>
        <family val="2"/>
      </rPr>
      <t>10/100</t>
    </r>
    <r>
      <rPr>
        <i/>
        <sz val="10"/>
        <rFont val="Arial"/>
        <family val="2"/>
      </rPr>
      <t>]</t>
    </r>
  </si>
  <si>
    <t>Leave blank if not applicable or &gt;1 type are provided</t>
  </si>
  <si>
    <r>
      <t>Total Weir Discharge, Q</t>
    </r>
    <r>
      <rPr>
        <vertAlign val="subscript"/>
        <sz val="10"/>
        <rFont val="Arial"/>
        <family val="2"/>
      </rPr>
      <t xml:space="preserve">weir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</si>
  <si>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Q</t>
    </r>
    <r>
      <rPr>
        <vertAlign val="subscript"/>
        <sz val="10"/>
        <rFont val="Arial"/>
        <family val="2"/>
      </rPr>
      <t xml:space="preserve">weir </t>
    </r>
    <r>
      <rPr>
        <sz val="10"/>
        <rFont val="Arial"/>
        <family val="2"/>
      </rPr>
      <t>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</si>
  <si>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r>
      <t>Total Opening Area, A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</si>
  <si>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Orifice Coefficient, C</t>
    </r>
    <r>
      <rPr>
        <vertAlign val="subscript"/>
        <sz val="10"/>
        <rFont val="Arial"/>
        <family val="2"/>
      </rPr>
      <t>d</t>
    </r>
  </si>
  <si>
    <r>
      <t>Total Orifice Discharge, Q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</si>
  <si>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Q</t>
    </r>
    <r>
      <rPr>
        <vertAlign val="subscript"/>
        <sz val="10"/>
        <rFont val="Arial"/>
        <family val="2"/>
      </rPr>
      <t xml:space="preserve">grate </t>
    </r>
    <r>
      <rPr>
        <sz val="10"/>
        <rFont val="Arial"/>
        <family val="2"/>
      </rPr>
      <t>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</si>
  <si>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r>
      <t>Final Outlet Capacity* (m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/s)</t>
    </r>
  </si>
  <si>
    <r>
      <t>Is Outlet capacity &gt; Q</t>
    </r>
    <r>
      <rPr>
        <vertAlign val="subscript"/>
        <sz val="10"/>
        <rFont val="Arial"/>
        <family val="2"/>
      </rPr>
      <t>10</t>
    </r>
    <r>
      <rPr>
        <vertAlign val="superscript"/>
        <sz val="10"/>
        <rFont val="Arial"/>
        <family val="2"/>
      </rPr>
      <t>#</t>
    </r>
    <r>
      <rPr>
        <sz val="10"/>
        <rFont val="Arial"/>
        <family val="2"/>
      </rPr>
      <t>?</t>
    </r>
  </si>
  <si>
    <t>Auto-populated from sheet "RG_inputs"</t>
  </si>
  <si>
    <t>Project Ref</t>
  </si>
  <si>
    <t>Project Title Line 1</t>
  </si>
  <si>
    <t>Project Title Line 2</t>
  </si>
  <si>
    <t>Revision no.</t>
  </si>
  <si>
    <t>Date</t>
  </si>
  <si>
    <t>Developer</t>
  </si>
  <si>
    <t>Lead Consultant</t>
  </si>
  <si>
    <t>ABCWP Name</t>
  </si>
  <si>
    <t>ABCWP No.</t>
  </si>
  <si>
    <t>Project Address</t>
  </si>
  <si>
    <t>Total Site Area</t>
  </si>
  <si>
    <t>ha</t>
  </si>
  <si>
    <t>Site treated area by ABCWDF</t>
  </si>
  <si>
    <t>% Site area treated</t>
  </si>
  <si>
    <t>ABCWDF within green buffer?</t>
  </si>
  <si>
    <t>ABCWDF for detention?</t>
  </si>
  <si>
    <t>For Manual Input "Yellow Cells"</t>
  </si>
  <si>
    <t>Submission Status</t>
  </si>
  <si>
    <t>Officer In-charge</t>
  </si>
  <si>
    <t>OIC</t>
  </si>
  <si>
    <t>E-mail</t>
  </si>
  <si>
    <t>OIC E-mail</t>
  </si>
  <si>
    <t>Select from above dropdown list</t>
  </si>
  <si>
    <t>Submission date</t>
  </si>
  <si>
    <t>Theresa Marie Lee</t>
  </si>
  <si>
    <t>theresa_marie_lee@pub.gov.sg</t>
  </si>
  <si>
    <t>Respond by (7 working days)</t>
  </si>
  <si>
    <t>Benjamin Tan</t>
  </si>
  <si>
    <t>benjamin_zw_tan@pub.gov.sg</t>
  </si>
  <si>
    <t>Days remaining</t>
  </si>
  <si>
    <t>days</t>
  </si>
  <si>
    <t>Png Hui Yi</t>
  </si>
  <si>
    <t>png_hui_yi@pub.gov.sg</t>
  </si>
  <si>
    <t>Luke Ortega</t>
  </si>
  <si>
    <t>luke_ortega@pub.gov.sg</t>
  </si>
  <si>
    <t>Stephenie Yap</t>
  </si>
  <si>
    <t>stephenie_yap@pub.gov.sg</t>
  </si>
  <si>
    <t>Lim Hong Yi</t>
  </si>
  <si>
    <t>lim_hong_yi@pub.gov.sg</t>
  </si>
  <si>
    <t>&lt;new officer1&gt;</t>
  </si>
  <si>
    <t>&lt;new officer2&gt;</t>
  </si>
  <si>
    <t>Status</t>
  </si>
  <si>
    <t>Open</t>
  </si>
  <si>
    <t>Close</t>
  </si>
  <si>
    <t>% TSS Removal:</t>
  </si>
  <si>
    <t>% TN Removal:</t>
  </si>
  <si>
    <t>% TP Removal:</t>
  </si>
  <si>
    <t>Version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</si>
</sst>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2"/>
      <name val="Arial"/>
      <family val="2"/>
    </font>
    <font>
      <i/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rgb="FFFF0000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bscript"/>
      <sz val="10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i/>
      <u/>
      <sz val="12"/>
      <color theme="10"/>
      <name val="Arial"/>
      <family val="2"/>
    </font>
    <font>
      <i/>
      <u/>
      <sz val="11"/>
      <color theme="10"/>
      <name val="Calibri"/>
      <family val="2"/>
      <scheme val="minor"/>
    </font>
    <font>
      <i/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47">
    <xf numFmtId="0" fontId="0" fillId="0" borderId="0" xfId="0"/>
    <xf numFmtId="0" fontId="10" fillId="0" borderId="0" xfId="0" applyFont="1"/>
    <xf numFmtId="0" fontId="10" fillId="6" borderId="0" xfId="0" applyFont="1" applyFill="1" applyAlignment="1">
      <alignment horizontal="left"/>
    </xf>
    <xf numFmtId="0" fontId="10" fillId="6" borderId="0" xfId="0" applyFont="1" applyFill="1"/>
    <xf numFmtId="0" fontId="10" fillId="5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/>
    <xf numFmtId="165" fontId="0" fillId="0" borderId="0" xfId="0" applyNumberFormat="1"/>
    <xf numFmtId="0" fontId="1" fillId="0" borderId="14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5" xfId="0" applyFont="1" applyBorder="1" applyAlignment="1">
      <alignment wrapText="1"/>
    </xf>
    <xf numFmtId="164" fontId="0" fillId="0" borderId="0" xfId="0" applyNumberFormat="1"/>
    <xf numFmtId="164" fontId="0" fillId="0" borderId="15" xfId="0" applyNumberFormat="1" applyBorder="1"/>
    <xf numFmtId="0" fontId="2" fillId="0" borderId="14" xfId="0" applyFont="1" applyBorder="1"/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164" fontId="2" fillId="0" borderId="15" xfId="0" applyNumberFormat="1" applyFont="1" applyBorder="1"/>
    <xf numFmtId="0" fontId="1" fillId="0" borderId="0" xfId="0" applyFont="1"/>
    <xf numFmtId="0" fontId="1" fillId="2" borderId="15" xfId="0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13" xfId="0" applyFont="1" applyBorder="1"/>
    <xf numFmtId="0" fontId="11" fillId="6" borderId="0" xfId="0" applyFont="1" applyFill="1" applyAlignment="1">
      <alignment horizontal="left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wrapText="1"/>
    </xf>
    <xf numFmtId="0" fontId="10" fillId="0" borderId="1" xfId="0" applyFont="1" applyBorder="1"/>
    <xf numFmtId="0" fontId="10" fillId="7" borderId="1" xfId="0" applyFont="1" applyFill="1" applyBorder="1" applyAlignment="1">
      <alignment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0" fillId="9" borderId="1" xfId="0" applyFont="1" applyFill="1" applyBorder="1" applyAlignment="1">
      <alignment wrapText="1"/>
    </xf>
    <xf numFmtId="0" fontId="7" fillId="9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wrapText="1"/>
    </xf>
    <xf numFmtId="0" fontId="10" fillId="5" borderId="1" xfId="0" applyFont="1" applyFill="1" applyBorder="1"/>
    <xf numFmtId="9" fontId="10" fillId="3" borderId="1" xfId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10" fillId="7" borderId="1" xfId="0" applyFont="1" applyFill="1" applyBorder="1" applyAlignment="1">
      <alignment vertical="center" wrapText="1"/>
    </xf>
    <xf numFmtId="0" fontId="10" fillId="8" borderId="1" xfId="0" applyFont="1" applyFill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10" fillId="9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9" fontId="17" fillId="0" borderId="1" xfId="1" applyFont="1" applyFill="1" applyBorder="1"/>
    <xf numFmtId="10" fontId="17" fillId="0" borderId="1" xfId="1" applyNumberFormat="1" applyFont="1" applyFill="1" applyBorder="1"/>
    <xf numFmtId="9" fontId="10" fillId="12" borderId="1" xfId="1" applyFont="1" applyFill="1" applyBorder="1" applyAlignment="1" applyProtection="1">
      <alignment horizontal="center" vertical="center"/>
      <protection locked="0"/>
    </xf>
    <xf numFmtId="0" fontId="10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13" borderId="20" xfId="0" applyFont="1" applyFill="1" applyBorder="1" applyAlignment="1">
      <alignment horizontal="center"/>
    </xf>
    <xf numFmtId="0" fontId="21" fillId="6" borderId="0" xfId="0" applyFont="1" applyFill="1"/>
    <xf numFmtId="0" fontId="10" fillId="6" borderId="4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0" fontId="9" fillId="6" borderId="0" xfId="0" applyFont="1" applyFill="1" applyProtection="1">
      <protection locked="0"/>
    </xf>
    <xf numFmtId="0" fontId="8" fillId="6" borderId="0" xfId="0" applyFont="1" applyFill="1" applyAlignment="1">
      <alignment horizontal="right"/>
    </xf>
    <xf numFmtId="0" fontId="9" fillId="6" borderId="0" xfId="0" applyFont="1" applyFill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9" fillId="6" borderId="0" xfId="0" applyFont="1" applyFill="1" applyAlignment="1" applyProtection="1">
      <alignment horizontal="left"/>
      <protection locked="0"/>
    </xf>
    <xf numFmtId="0" fontId="10" fillId="6" borderId="0" xfId="0" applyFont="1" applyFill="1" applyAlignment="1">
      <alignment vertical="top"/>
    </xf>
    <xf numFmtId="0" fontId="15" fillId="6" borderId="0" xfId="0" quotePrefix="1" applyFont="1" applyFill="1" applyAlignment="1">
      <alignment horizontal="left" vertical="top" wrapText="1"/>
    </xf>
    <xf numFmtId="0" fontId="15" fillId="6" borderId="5" xfId="0" quotePrefix="1" applyFont="1" applyFill="1" applyBorder="1" applyAlignment="1">
      <alignment horizontal="left" vertical="top" wrapText="1"/>
    </xf>
    <xf numFmtId="0" fontId="23" fillId="0" borderId="0" xfId="0" applyFont="1"/>
    <xf numFmtId="0" fontId="10" fillId="6" borderId="3" xfId="0" applyFont="1" applyFill="1" applyBorder="1" applyAlignment="1" applyProtection="1">
      <alignment horizontal="center"/>
      <protection locked="0"/>
    </xf>
    <xf numFmtId="0" fontId="15" fillId="6" borderId="0" xfId="0" quotePrefix="1" applyFont="1" applyFill="1" applyAlignment="1">
      <alignment vertical="top" wrapText="1"/>
    </xf>
    <xf numFmtId="0" fontId="23" fillId="0" borderId="0" xfId="0" applyFont="1" applyAlignment="1">
      <alignment wrapText="1"/>
    </xf>
    <xf numFmtId="0" fontId="23" fillId="6" borderId="0" xfId="0" applyFont="1" applyFill="1"/>
    <xf numFmtId="0" fontId="21" fillId="13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>
      <alignment horizont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wrapText="1"/>
    </xf>
    <xf numFmtId="0" fontId="10" fillId="6" borderId="3" xfId="0" applyFont="1" applyFill="1" applyBorder="1" applyAlignment="1" applyProtection="1">
      <alignment vertical="top"/>
      <protection locked="0"/>
    </xf>
    <xf numFmtId="0" fontId="10" fillId="0" borderId="20" xfId="0" applyFont="1" applyBorder="1"/>
    <xf numFmtId="0" fontId="11" fillId="0" borderId="2" xfId="0" applyFont="1" applyBorder="1"/>
    <xf numFmtId="0" fontId="11" fillId="0" borderId="0" xfId="0" applyFont="1"/>
    <xf numFmtId="0" fontId="29" fillId="0" borderId="0" xfId="0" applyFont="1"/>
    <xf numFmtId="0" fontId="30" fillId="0" borderId="0" xfId="0" applyFont="1"/>
    <xf numFmtId="0" fontId="10" fillId="0" borderId="23" xfId="0" applyFont="1" applyBorder="1"/>
    <xf numFmtId="0" fontId="10" fillId="0" borderId="3" xfId="0" applyFont="1" applyBorder="1"/>
    <xf numFmtId="0" fontId="10" fillId="4" borderId="20" xfId="0" applyFont="1" applyFill="1" applyBorder="1" applyAlignment="1">
      <alignment wrapText="1"/>
    </xf>
    <xf numFmtId="0" fontId="10" fillId="5" borderId="20" xfId="0" applyFont="1" applyFill="1" applyBorder="1"/>
    <xf numFmtId="0" fontId="7" fillId="0" borderId="23" xfId="0" applyFont="1" applyBorder="1" applyAlignment="1">
      <alignment wrapText="1"/>
    </xf>
    <xf numFmtId="0" fontId="1" fillId="0" borderId="24" xfId="0" applyFont="1" applyBorder="1"/>
    <xf numFmtId="0" fontId="0" fillId="0" borderId="25" xfId="0" applyBorder="1"/>
    <xf numFmtId="10" fontId="10" fillId="5" borderId="1" xfId="1" applyNumberFormat="1" applyFont="1" applyFill="1" applyBorder="1" applyAlignment="1">
      <alignment horizontal="center"/>
    </xf>
    <xf numFmtId="0" fontId="10" fillId="6" borderId="3" xfId="0" applyFont="1" applyFill="1" applyBorder="1" applyProtection="1">
      <protection locked="0"/>
    </xf>
    <xf numFmtId="0" fontId="10" fillId="6" borderId="5" xfId="0" applyFont="1" applyFill="1" applyBorder="1" applyAlignment="1">
      <alignment horizontal="right"/>
    </xf>
    <xf numFmtId="0" fontId="10" fillId="6" borderId="0" xfId="0" quotePrefix="1" applyFont="1" applyFill="1" applyAlignment="1">
      <alignment horizontal="right" vertical="top"/>
    </xf>
    <xf numFmtId="0" fontId="6" fillId="6" borderId="0" xfId="6" applyFill="1" applyBorder="1" applyAlignment="1" applyProtection="1">
      <alignment horizontal="left"/>
      <protection locked="0"/>
    </xf>
    <xf numFmtId="0" fontId="10" fillId="6" borderId="0" xfId="0" applyFont="1" applyFill="1" applyAlignment="1">
      <alignment horizontal="center"/>
    </xf>
    <xf numFmtId="9" fontId="10" fillId="14" borderId="3" xfId="1" applyFont="1" applyFill="1" applyBorder="1" applyAlignment="1" applyProtection="1">
      <alignment vertical="top"/>
    </xf>
    <xf numFmtId="0" fontId="21" fillId="6" borderId="4" xfId="0" applyFont="1" applyFill="1" applyBorder="1" applyProtection="1">
      <protection locked="0"/>
    </xf>
    <xf numFmtId="0" fontId="10" fillId="6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right"/>
    </xf>
    <xf numFmtId="0" fontId="9" fillId="6" borderId="5" xfId="0" applyFont="1" applyFill="1" applyBorder="1"/>
    <xf numFmtId="0" fontId="9" fillId="6" borderId="0" xfId="0" applyFont="1" applyFill="1"/>
    <xf numFmtId="0" fontId="32" fillId="6" borderId="0" xfId="6" applyFont="1" applyFill="1" applyAlignment="1">
      <alignment horizontal="center"/>
    </xf>
    <xf numFmtId="0" fontId="20" fillId="6" borderId="0" xfId="0" applyFont="1" applyFill="1"/>
    <xf numFmtId="0" fontId="21" fillId="10" borderId="1" xfId="0" applyFont="1" applyFill="1" applyBorder="1" applyAlignment="1">
      <alignment horizontal="center" wrapText="1"/>
    </xf>
    <xf numFmtId="0" fontId="21" fillId="6" borderId="0" xfId="0" applyFont="1" applyFill="1" applyAlignment="1">
      <alignment horizontal="left"/>
    </xf>
    <xf numFmtId="0" fontId="21" fillId="0" borderId="1" xfId="0" applyFont="1" applyBorder="1" applyAlignment="1" applyProtection="1">
      <alignment horizont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21" fillId="0" borderId="1" xfId="1" applyNumberFormat="1" applyFont="1" applyFill="1" applyBorder="1" applyAlignment="1" applyProtection="1">
      <alignment horizontal="center"/>
      <protection locked="0"/>
    </xf>
    <xf numFmtId="0" fontId="21" fillId="14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10" fontId="21" fillId="14" borderId="1" xfId="1" applyNumberFormat="1" applyFont="1" applyFill="1" applyBorder="1" applyAlignment="1">
      <alignment horizontal="center"/>
    </xf>
    <xf numFmtId="9" fontId="21" fillId="0" borderId="1" xfId="1" applyFont="1" applyFill="1" applyBorder="1" applyAlignment="1" applyProtection="1">
      <alignment horizontal="center"/>
      <protection locked="0"/>
    </xf>
    <xf numFmtId="0" fontId="21" fillId="6" borderId="0" xfId="0" applyFont="1" applyFill="1" applyAlignment="1">
      <alignment horizontal="center"/>
    </xf>
    <xf numFmtId="10" fontId="21" fillId="6" borderId="0" xfId="1" applyNumberFormat="1" applyFont="1" applyFill="1" applyBorder="1" applyAlignment="1">
      <alignment horizontal="center"/>
    </xf>
    <xf numFmtId="0" fontId="33" fillId="6" borderId="0" xfId="0" applyFont="1" applyFill="1" applyAlignment="1">
      <alignment horizontal="left"/>
    </xf>
    <xf numFmtId="0" fontId="5" fillId="4" borderId="22" xfId="0" applyFont="1" applyFill="1" applyBorder="1" applyAlignment="1">
      <alignment horizontal="center" wrapText="1"/>
    </xf>
    <xf numFmtId="0" fontId="35" fillId="6" borderId="0" xfId="0" applyFont="1" applyFill="1"/>
    <xf numFmtId="0" fontId="5" fillId="9" borderId="1" xfId="0" applyFont="1" applyFill="1" applyBorder="1" applyAlignment="1">
      <alignment horizontal="center" wrapText="1"/>
    </xf>
    <xf numFmtId="0" fontId="35" fillId="6" borderId="0" xfId="0" applyFont="1" applyFill="1" applyAlignment="1">
      <alignment horizontal="left"/>
    </xf>
    <xf numFmtId="0" fontId="5" fillId="4" borderId="2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10" fontId="5" fillId="14" borderId="1" xfId="1" applyNumberFormat="1" applyFont="1" applyFill="1" applyBorder="1" applyAlignment="1">
      <alignment horizontal="center"/>
    </xf>
    <xf numFmtId="0" fontId="5" fillId="0" borderId="0" xfId="0" applyFont="1"/>
    <xf numFmtId="0" fontId="5" fillId="6" borderId="0" xfId="0" applyFont="1" applyFill="1"/>
    <xf numFmtId="0" fontId="5" fillId="0" borderId="1" xfId="0" applyFont="1" applyBorder="1" applyAlignment="1">
      <alignment horizontal="center"/>
    </xf>
    <xf numFmtId="0" fontId="39" fillId="6" borderId="0" xfId="0" applyFont="1" applyFill="1"/>
    <xf numFmtId="0" fontId="34" fillId="6" borderId="0" xfId="0" applyFont="1" applyFill="1"/>
    <xf numFmtId="0" fontId="5" fillId="0" borderId="1" xfId="0" applyFont="1" applyBorder="1" applyProtection="1">
      <protection locked="0"/>
    </xf>
    <xf numFmtId="0" fontId="40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9" fontId="0" fillId="0" borderId="0" xfId="0" applyNumberFormat="1"/>
    <xf numFmtId="0" fontId="41" fillId="0" borderId="0" xfId="0" applyFont="1"/>
    <xf numFmtId="0" fontId="2" fillId="0" borderId="0" xfId="0" applyFont="1" applyAlignment="1">
      <alignment horizontal="right"/>
    </xf>
    <xf numFmtId="0" fontId="0" fillId="2" borderId="0" xfId="0" applyFill="1"/>
    <xf numFmtId="0" fontId="42" fillId="14" borderId="0" xfId="0" applyFont="1" applyFill="1"/>
    <xf numFmtId="0" fontId="0" fillId="14" borderId="0" xfId="0" applyFill="1"/>
    <xf numFmtId="14" fontId="0" fillId="2" borderId="0" xfId="0" applyNumberFormat="1" applyFill="1"/>
    <xf numFmtId="0" fontId="6" fillId="14" borderId="0" xfId="6" applyFill="1"/>
    <xf numFmtId="0" fontId="5" fillId="6" borderId="1" xfId="0" applyFont="1" applyFill="1" applyBorder="1" applyProtection="1">
      <protection locked="0"/>
    </xf>
    <xf numFmtId="0" fontId="35" fillId="6" borderId="1" xfId="0" applyFont="1" applyFill="1" applyBorder="1" applyAlignment="1" applyProtection="1">
      <alignment vertical="top" wrapText="1"/>
      <protection locked="0"/>
    </xf>
    <xf numFmtId="0" fontId="23" fillId="0" borderId="1" xfId="0" applyFont="1" applyBorder="1" applyProtection="1">
      <protection locked="0"/>
    </xf>
    <xf numFmtId="9" fontId="23" fillId="0" borderId="1" xfId="1" applyFont="1" applyBorder="1" applyProtection="1">
      <protection locked="0"/>
    </xf>
    <xf numFmtId="9" fontId="21" fillId="0" borderId="1" xfId="1" applyFont="1" applyBorder="1" applyProtection="1">
      <protection locked="0"/>
    </xf>
    <xf numFmtId="0" fontId="21" fillId="6" borderId="0" xfId="0" applyFont="1" applyFill="1" applyAlignment="1">
      <alignment horizontal="right"/>
    </xf>
    <xf numFmtId="15" fontId="21" fillId="6" borderId="0" xfId="0" applyNumberFormat="1" applyFont="1" applyFill="1" applyAlignment="1">
      <alignment horizontal="right"/>
    </xf>
    <xf numFmtId="0" fontId="34" fillId="9" borderId="1" xfId="0" applyFont="1" applyFill="1" applyBorder="1" applyAlignment="1">
      <alignment horizontal="center"/>
    </xf>
    <xf numFmtId="0" fontId="21" fillId="6" borderId="1" xfId="0" applyFont="1" applyFill="1" applyBorder="1" applyAlignment="1" applyProtection="1">
      <alignment horizontal="center"/>
      <protection locked="0"/>
    </xf>
    <xf numFmtId="0" fontId="34" fillId="6" borderId="1" xfId="0" quotePrefix="1" applyFont="1" applyFill="1" applyBorder="1" applyAlignment="1">
      <alignment horizontal="center" wrapText="1"/>
    </xf>
    <xf numFmtId="0" fontId="11" fillId="6" borderId="3" xfId="0" applyFont="1" applyFill="1" applyBorder="1" applyAlignment="1">
      <alignment horizontal="left"/>
    </xf>
    <xf numFmtId="0" fontId="23" fillId="6" borderId="4" xfId="0" applyFont="1" applyFill="1" applyBorder="1" applyAlignment="1" applyProtection="1">
      <alignment horizontal="center"/>
      <protection locked="0"/>
    </xf>
    <xf numFmtId="0" fontId="15" fillId="6" borderId="4" xfId="0" quotePrefix="1" applyFont="1" applyFill="1" applyBorder="1" applyAlignment="1" applyProtection="1">
      <alignment horizontal="center" vertical="top" wrapText="1"/>
      <protection locked="0"/>
    </xf>
    <xf numFmtId="0" fontId="15" fillId="6" borderId="0" xfId="0" quotePrefix="1" applyFont="1" applyFill="1" applyAlignment="1">
      <alignment horizontal="left" vertical="top"/>
    </xf>
    <xf numFmtId="0" fontId="10" fillId="6" borderId="0" xfId="0" applyFont="1" applyFill="1" applyAlignment="1">
      <alignment horizontal="left"/>
    </xf>
    <xf numFmtId="0" fontId="15" fillId="6" borderId="0" xfId="0" quotePrefix="1" applyFont="1" applyFill="1" applyAlignment="1">
      <alignment horizontal="left"/>
    </xf>
    <xf numFmtId="0" fontId="5" fillId="4" borderId="21" xfId="0" applyFont="1" applyFill="1" applyBorder="1" applyAlignment="1">
      <alignment horizontal="center" wrapText="1"/>
    </xf>
    <xf numFmtId="0" fontId="5" fillId="4" borderId="22" xfId="0" applyFont="1" applyFill="1" applyBorder="1" applyAlignment="1">
      <alignment horizontal="center" wrapText="1"/>
    </xf>
    <xf numFmtId="0" fontId="21" fillId="7" borderId="21" xfId="0" applyFont="1" applyFill="1" applyBorder="1" applyAlignment="1">
      <alignment horizontal="center" wrapText="1"/>
    </xf>
    <xf numFmtId="0" fontId="21" fillId="7" borderId="23" xfId="0" applyFont="1" applyFill="1" applyBorder="1" applyAlignment="1">
      <alignment horizontal="center" wrapText="1"/>
    </xf>
    <xf numFmtId="0" fontId="21" fillId="7" borderId="22" xfId="0" applyFont="1" applyFill="1" applyBorder="1" applyAlignment="1">
      <alignment horizontal="center" wrapText="1"/>
    </xf>
    <xf numFmtId="0" fontId="5" fillId="7" borderId="1" xfId="0" applyFont="1" applyFill="1" applyBorder="1" applyAlignment="1">
      <alignment horizontal="center" wrapText="1"/>
    </xf>
    <xf numFmtId="0" fontId="7" fillId="6" borderId="0" xfId="0" applyFont="1" applyFill="1" applyAlignment="1">
      <alignment horizontal="left" vertical="top"/>
    </xf>
    <xf numFmtId="0" fontId="26" fillId="8" borderId="6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6" fillId="8" borderId="7" xfId="0" applyFont="1" applyFill="1" applyBorder="1" applyAlignment="1">
      <alignment horizontal="center"/>
    </xf>
    <xf numFmtId="0" fontId="26" fillId="8" borderId="9" xfId="0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6" fillId="8" borderId="10" xfId="0" applyFont="1" applyFill="1" applyBorder="1" applyAlignment="1">
      <alignment horizontal="center"/>
    </xf>
    <xf numFmtId="0" fontId="5" fillId="7" borderId="21" xfId="0" applyFont="1" applyFill="1" applyBorder="1" applyAlignment="1" applyProtection="1">
      <alignment horizontal="center" wrapText="1"/>
      <protection locked="0"/>
    </xf>
    <xf numFmtId="0" fontId="5" fillId="7" borderId="23" xfId="0" applyFont="1" applyFill="1" applyBorder="1" applyAlignment="1" applyProtection="1">
      <alignment horizontal="center" wrapText="1"/>
      <protection locked="0"/>
    </xf>
    <xf numFmtId="0" fontId="5" fillId="7" borderId="22" xfId="0" applyFont="1" applyFill="1" applyBorder="1" applyAlignment="1" applyProtection="1">
      <alignment horizontal="center" wrapText="1"/>
      <protection locked="0"/>
    </xf>
    <xf numFmtId="0" fontId="26" fillId="11" borderId="6" xfId="0" applyFont="1" applyFill="1" applyBorder="1" applyAlignment="1">
      <alignment horizontal="center"/>
    </xf>
    <xf numFmtId="0" fontId="26" fillId="11" borderId="5" xfId="0" applyFont="1" applyFill="1" applyBorder="1" applyAlignment="1">
      <alignment horizontal="center"/>
    </xf>
    <xf numFmtId="0" fontId="26" fillId="11" borderId="7" xfId="0" applyFont="1" applyFill="1" applyBorder="1" applyAlignment="1">
      <alignment horizontal="center"/>
    </xf>
    <xf numFmtId="0" fontId="26" fillId="11" borderId="9" xfId="0" applyFont="1" applyFill="1" applyBorder="1" applyAlignment="1">
      <alignment horizontal="center"/>
    </xf>
    <xf numFmtId="0" fontId="26" fillId="11" borderId="3" xfId="0" applyFont="1" applyFill="1" applyBorder="1" applyAlignment="1">
      <alignment horizontal="center"/>
    </xf>
    <xf numFmtId="0" fontId="26" fillId="11" borderId="10" xfId="0" applyFont="1" applyFill="1" applyBorder="1" applyAlignment="1">
      <alignment horizontal="center"/>
    </xf>
    <xf numFmtId="0" fontId="5" fillId="7" borderId="21" xfId="0" applyFont="1" applyFill="1" applyBorder="1" applyAlignment="1">
      <alignment horizontal="center" wrapText="1"/>
    </xf>
    <xf numFmtId="0" fontId="5" fillId="7" borderId="23" xfId="0" applyFont="1" applyFill="1" applyBorder="1" applyAlignment="1">
      <alignment horizontal="center" wrapText="1"/>
    </xf>
    <xf numFmtId="0" fontId="5" fillId="7" borderId="22" xfId="0" applyFont="1" applyFill="1" applyBorder="1" applyAlignment="1">
      <alignment horizontal="center" wrapText="1"/>
    </xf>
    <xf numFmtId="0" fontId="31" fillId="6" borderId="0" xfId="6" applyFont="1" applyFill="1" applyAlignment="1">
      <alignment horizontal="center"/>
    </xf>
    <xf numFmtId="0" fontId="26" fillId="13" borderId="6" xfId="0" applyFont="1" applyFill="1" applyBorder="1" applyAlignment="1">
      <alignment horizontal="center"/>
    </xf>
    <xf numFmtId="0" fontId="26" fillId="13" borderId="5" xfId="0" applyFont="1" applyFill="1" applyBorder="1" applyAlignment="1">
      <alignment horizontal="center"/>
    </xf>
    <xf numFmtId="0" fontId="26" fillId="13" borderId="7" xfId="0" applyFont="1" applyFill="1" applyBorder="1" applyAlignment="1">
      <alignment horizontal="center"/>
    </xf>
    <xf numFmtId="0" fontId="26" fillId="13" borderId="9" xfId="0" applyFont="1" applyFill="1" applyBorder="1" applyAlignment="1">
      <alignment horizontal="center"/>
    </xf>
    <xf numFmtId="0" fontId="26" fillId="13" borderId="3" xfId="0" applyFont="1" applyFill="1" applyBorder="1" applyAlignment="1">
      <alignment horizontal="center"/>
    </xf>
    <xf numFmtId="0" fontId="26" fillId="13" borderId="10" xfId="0" applyFont="1" applyFill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15" fillId="6" borderId="1" xfId="0" quotePrefix="1" applyFont="1" applyFill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/>
      <protection locked="0"/>
    </xf>
    <xf numFmtId="0" fontId="21" fillId="0" borderId="5" xfId="0" applyFont="1" applyBorder="1" applyAlignment="1" applyProtection="1">
      <alignment horizontal="left"/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10" fillId="6" borderId="0" xfId="0" applyFont="1" applyFill="1" applyAlignment="1">
      <alignment horizontal="left" vertical="top"/>
    </xf>
    <xf numFmtId="0" fontId="10" fillId="6" borderId="3" xfId="0" applyFont="1" applyFill="1" applyBorder="1" applyAlignment="1" applyProtection="1">
      <alignment horizontal="center"/>
      <protection locked="0"/>
    </xf>
    <xf numFmtId="0" fontId="10" fillId="6" borderId="4" xfId="0" applyFont="1" applyFill="1" applyBorder="1" applyAlignment="1" applyProtection="1">
      <alignment horizontal="center"/>
      <protection locked="0"/>
    </xf>
    <xf numFmtId="0" fontId="11" fillId="6" borderId="0" xfId="0" applyFont="1" applyFill="1" applyAlignment="1">
      <alignment horizontal="right"/>
    </xf>
    <xf numFmtId="0" fontId="39" fillId="6" borderId="3" xfId="0" applyFont="1" applyFill="1" applyBorder="1" applyAlignment="1" applyProtection="1">
      <alignment horizontal="center"/>
      <protection locked="0"/>
    </xf>
    <xf numFmtId="0" fontId="34" fillId="6" borderId="1" xfId="0" applyFont="1" applyFill="1" applyBorder="1" applyAlignment="1">
      <alignment horizontal="center" wrapText="1"/>
    </xf>
    <xf numFmtId="0" fontId="26" fillId="10" borderId="1" xfId="0" applyFont="1" applyFill="1" applyBorder="1" applyAlignment="1">
      <alignment horizontal="center"/>
    </xf>
    <xf numFmtId="0" fontId="34" fillId="6" borderId="1" xfId="0" applyFont="1" applyFill="1" applyBorder="1" applyAlignment="1">
      <alignment horizontal="center"/>
    </xf>
    <xf numFmtId="0" fontId="11" fillId="6" borderId="0" xfId="0" applyFont="1" applyFill="1" applyAlignment="1">
      <alignment horizontal="left"/>
    </xf>
    <xf numFmtId="0" fontId="21" fillId="6" borderId="3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34" fillId="4" borderId="20" xfId="0" applyFont="1" applyFill="1" applyBorder="1" applyAlignment="1">
      <alignment horizontal="center"/>
    </xf>
    <xf numFmtId="0" fontId="34" fillId="4" borderId="4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35" fillId="4" borderId="20" xfId="0" applyFont="1" applyFill="1" applyBorder="1" applyAlignment="1">
      <alignment horizontal="center"/>
    </xf>
    <xf numFmtId="0" fontId="35" fillId="4" borderId="4" xfId="0" applyFont="1" applyFill="1" applyBorder="1" applyAlignment="1">
      <alignment horizontal="center"/>
    </xf>
    <xf numFmtId="0" fontId="35" fillId="4" borderId="19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/>
    </xf>
    <xf numFmtId="0" fontId="11" fillId="10" borderId="20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10" borderId="19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 wrapText="1"/>
    </xf>
    <xf numFmtId="0" fontId="10" fillId="7" borderId="22" xfId="0" applyFont="1" applyFill="1" applyBorder="1" applyAlignment="1">
      <alignment horizontal="center" wrapText="1"/>
    </xf>
    <xf numFmtId="0" fontId="10" fillId="9" borderId="20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1" fillId="8" borderId="20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/>
    </xf>
    <xf numFmtId="0" fontId="10" fillId="7" borderId="20" xfId="0" applyFont="1" applyFill="1" applyBorder="1" applyAlignment="1">
      <alignment horizontal="center" vertical="center" wrapText="1"/>
    </xf>
    <xf numFmtId="0" fontId="10" fillId="7" borderId="19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9" borderId="19" xfId="0" applyFont="1" applyFill="1" applyBorder="1" applyAlignment="1">
      <alignment horizontal="center"/>
    </xf>
  </cellXfs>
  <cellStyles count="7">
    <cellStyle name="Hyperlink" xfId="5" builtinId="8" hidden="1"/>
    <cellStyle name="Hyperlink" xfId="6" builtinId="8"/>
    <cellStyle name="Normal" xfId="0" builtinId="0"/>
    <cellStyle name="Normal 2" xfId="4" xr:uid="{00000000-0005-0000-0000-000002000000}"/>
    <cellStyle name="Normal 3" xfId="2" xr:uid="{00000000-0005-0000-0000-000003000000}"/>
    <cellStyle name="Percent" xfId="1" builtinId="5"/>
    <cellStyle name="Percent 2" xfId="3" xr:uid="{00000000-0005-0000-0000-000005000000}"/>
  </cellStyles>
  <dxfs count="5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36850</xdr:colOff>
      <xdr:row>32</xdr:row>
      <xdr:rowOff>62193</xdr:rowOff>
    </xdr:from>
    <xdr:to>
      <xdr:col>26</xdr:col>
      <xdr:colOff>344579</xdr:colOff>
      <xdr:row>40</xdr:row>
      <xdr:rowOff>96457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657098-DF9D-4769-8DC6-CFA371F7AD0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</a:extLst>
        </a:blip>
        <a:srcRect l="6605" t="14996" r="16858" b="5581"/>
        <a:stretch/>
      </xdr:blipFill>
      <xdr:spPr>
        <a:xfrm>
          <a:off x="11478056" y="6382311"/>
          <a:ext cx="4543554" cy="1460996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19</xdr:col>
      <xdr:colOff>23356</xdr:colOff>
      <xdr:row>61</xdr:row>
      <xdr:rowOff>70036</xdr:rowOff>
    </xdr:from>
    <xdr:to>
      <xdr:col>26</xdr:col>
      <xdr:colOff>284288</xdr:colOff>
      <xdr:row>69</xdr:row>
      <xdr:rowOff>120285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988494BE-CD62-4C70-93C2-47C054EE6A29}"/>
            </a:ext>
          </a:extLst>
        </xdr:cNvPr>
        <xdr:cNvGrpSpPr/>
      </xdr:nvGrpSpPr>
      <xdr:grpSpPr>
        <a:xfrm>
          <a:off x="14112885" y="13748683"/>
          <a:ext cx="4758227" cy="1327720"/>
          <a:chOff x="14772218" y="15348415"/>
          <a:chExt cx="3515997" cy="1244167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8B58FB0B-F32D-4661-962B-4D7D3A34D955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harpenSoften amount="50000"/>
                    </a14:imgEffect>
                  </a14:imgLayer>
                </a14:imgProps>
              </a:ext>
            </a:extLst>
          </a:blip>
          <a:srcRect l="8610" r="16039"/>
          <a:stretch/>
        </xdr:blipFill>
        <xdr:spPr>
          <a:xfrm>
            <a:off x="14772218" y="15348415"/>
            <a:ext cx="3515997" cy="1244167"/>
          </a:xfrm>
          <a:prstGeom prst="rect">
            <a:avLst/>
          </a:prstGeom>
          <a:ln>
            <a:solidFill>
              <a:sysClr val="windowText" lastClr="000000"/>
            </a:solidFill>
          </a:ln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6AE5AEE2-A083-4808-B73D-E0D6189F21F0}"/>
              </a:ext>
            </a:extLst>
          </xdr:cNvPr>
          <xdr:cNvSpPr txBox="1"/>
        </xdr:nvSpPr>
        <xdr:spPr>
          <a:xfrm>
            <a:off x="15371818" y="16161282"/>
            <a:ext cx="610324" cy="225744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algn="r"/>
            <a:r>
              <a:rPr lang="en-SG" sz="1200">
                <a:latin typeface="Arial" panose="020B0604020202020204" pitchFamily="34" charset="0"/>
                <a:cs typeface="Arial" panose="020B0604020202020204" pitchFamily="34" charset="0"/>
              </a:rPr>
              <a:t>Y</a:t>
            </a:r>
            <a:r>
              <a:rPr lang="en-SG" sz="1200" baseline="-25000">
                <a:latin typeface="Arial" panose="020B0604020202020204" pitchFamily="34" charset="0"/>
                <a:cs typeface="Arial" panose="020B0604020202020204" pitchFamily="34" charset="0"/>
              </a:rPr>
              <a:t>10/100</a:t>
            </a:r>
          </a:p>
        </xdr:txBody>
      </xdr:sp>
    </xdr:grpSp>
    <xdr:clientData/>
  </xdr:twoCellAnchor>
  <xdr:twoCellAnchor editAs="oneCell">
    <xdr:from>
      <xdr:col>18</xdr:col>
      <xdr:colOff>605117</xdr:colOff>
      <xdr:row>44</xdr:row>
      <xdr:rowOff>56656</xdr:rowOff>
    </xdr:from>
    <xdr:to>
      <xdr:col>28</xdr:col>
      <xdr:colOff>168025</xdr:colOff>
      <xdr:row>60</xdr:row>
      <xdr:rowOff>289448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FF06DA-1439-4930-B3A7-2E0E7FDE54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278" t="5255" r="9641" b="4358"/>
        <a:stretch/>
      </xdr:blipFill>
      <xdr:spPr>
        <a:xfrm>
          <a:off x="11441205" y="8349009"/>
          <a:ext cx="5604560" cy="378696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25</xdr:col>
      <xdr:colOff>49695</xdr:colOff>
      <xdr:row>50</xdr:row>
      <xdr:rowOff>99392</xdr:rowOff>
    </xdr:from>
    <xdr:to>
      <xdr:col>25</xdr:col>
      <xdr:colOff>49695</xdr:colOff>
      <xdr:row>56</xdr:row>
      <xdr:rowOff>8282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DE2C7B0-5B89-4993-B0EB-65DEF82FB3AF}"/>
            </a:ext>
          </a:extLst>
        </xdr:cNvPr>
        <xdr:cNvCxnSpPr/>
      </xdr:nvCxnSpPr>
      <xdr:spPr>
        <a:xfrm flipV="1">
          <a:off x="17219543" y="10651435"/>
          <a:ext cx="0" cy="100219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604631</xdr:colOff>
      <xdr:row>50</xdr:row>
      <xdr:rowOff>99392</xdr:rowOff>
    </xdr:from>
    <xdr:to>
      <xdr:col>25</xdr:col>
      <xdr:colOff>57979</xdr:colOff>
      <xdr:row>50</xdr:row>
      <xdr:rowOff>99392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5032F5E2-E9A4-4F22-8C21-2CA8578617EB}"/>
            </a:ext>
          </a:extLst>
        </xdr:cNvPr>
        <xdr:cNvCxnSpPr/>
      </xdr:nvCxnSpPr>
      <xdr:spPr>
        <a:xfrm flipH="1">
          <a:off x="14709914" y="10651435"/>
          <a:ext cx="251791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468610</xdr:colOff>
      <xdr:row>14</xdr:row>
      <xdr:rowOff>121227</xdr:rowOff>
    </xdr:from>
    <xdr:to>
      <xdr:col>17</xdr:col>
      <xdr:colOff>199051</xdr:colOff>
      <xdr:row>36</xdr:row>
      <xdr:rowOff>130986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1107B3-D693-4102-9B28-E6919E968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78" t="5255" r="9641" b="4358"/>
        <a:stretch/>
      </xdr:blipFill>
      <xdr:spPr>
        <a:xfrm>
          <a:off x="5309551" y="3852786"/>
          <a:ext cx="6196235" cy="420075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150043</xdr:colOff>
      <xdr:row>14</xdr:row>
      <xdr:rowOff>121226</xdr:rowOff>
    </xdr:from>
    <xdr:to>
      <xdr:col>7</xdr:col>
      <xdr:colOff>324971</xdr:colOff>
      <xdr:row>24</xdr:row>
      <xdr:rowOff>180592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E58D984-9ED2-4C5D-B4D0-D3343F500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896" y="3852785"/>
          <a:ext cx="4153016" cy="1964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5</xdr:row>
      <xdr:rowOff>180975</xdr:rowOff>
    </xdr:from>
    <xdr:to>
      <xdr:col>3</xdr:col>
      <xdr:colOff>447674</xdr:colOff>
      <xdr:row>16</xdr:row>
      <xdr:rowOff>136396</xdr:rowOff>
    </xdr:to>
    <xdr:pic>
      <xdr:nvPicPr>
        <xdr:cNvPr id="2" name="Picture 3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762000"/>
          <a:ext cx="3514725" cy="2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ub.gov.sg/abcwaters/designguidelin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ng_hui_yi@pub.gov.sg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mailto:theresa_marie_lee@pub.gov.sg" TargetMode="External"/><Relationship Id="rId1" Type="http://schemas.openxmlformats.org/officeDocument/2006/relationships/hyperlink" Target="mailto:benjamin_zw_tan@pub.gov.sg" TargetMode="External"/><Relationship Id="rId6" Type="http://schemas.openxmlformats.org/officeDocument/2006/relationships/hyperlink" Target="mailto:lim_hong_yi@pub.gov.sg" TargetMode="External"/><Relationship Id="rId5" Type="http://schemas.openxmlformats.org/officeDocument/2006/relationships/hyperlink" Target="mailto:stephenie_yap@pub.gov.sg" TargetMode="External"/><Relationship Id="rId4" Type="http://schemas.openxmlformats.org/officeDocument/2006/relationships/hyperlink" Target="mailto:luke_ortega@pub.gov.s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F9EC-F233-4BA8-B375-2F5C7167898F}">
  <dimension ref="A1:T107"/>
  <sheetViews>
    <sheetView tabSelected="1" view="pageBreakPreview" zoomScale="85" zoomScaleNormal="100" zoomScaleSheetLayoutView="85" zoomScalePageLayoutView="70" workbookViewId="0">
      <selection activeCell="K6" sqref="K6"/>
    </sheetView>
  </sheetViews>
  <sheetFormatPr defaultColWidth="9.1796875" defaultRowHeight="12.5" x14ac:dyDescent="0.25"/>
  <cols>
    <col min="1" max="7" width="10.26953125" style="43" customWidth="1"/>
    <col min="8" max="8" width="11" style="43" customWidth="1"/>
    <col min="9" max="16" width="10.26953125" style="43" customWidth="1"/>
    <col min="17" max="17" width="9.1796875" style="43"/>
    <col min="18" max="18" width="18.26953125" style="43" customWidth="1"/>
    <col min="19" max="41" width="9.1796875" style="43"/>
    <col min="42" max="42" width="19.453125" style="43" bestFit="1" customWidth="1"/>
    <col min="43" max="44" width="9.1796875" style="43"/>
    <col min="45" max="45" width="9.1796875" style="43" customWidth="1"/>
    <col min="46" max="46" width="10.7265625" style="43" customWidth="1"/>
    <col min="47" max="16384" width="9.1796875" style="43"/>
  </cols>
  <sheetData>
    <row r="1" spans="1:18" ht="16.5" customHeight="1" x14ac:dyDescent="0.4">
      <c r="A1" s="193" t="s">
        <v>118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58"/>
      <c r="R1" s="58"/>
    </row>
    <row r="2" spans="1:18" ht="16.5" x14ac:dyDescent="0.35">
      <c r="A2" s="58"/>
      <c r="B2" s="28"/>
      <c r="C2" s="58"/>
      <c r="D2" s="60"/>
      <c r="E2" s="61"/>
      <c r="F2" s="61"/>
      <c r="G2" s="58"/>
      <c r="H2" s="58"/>
      <c r="I2" s="58"/>
      <c r="J2" s="58"/>
      <c r="K2" s="58"/>
      <c r="L2" s="60"/>
      <c r="M2" s="60"/>
      <c r="N2" s="60"/>
      <c r="O2" s="60"/>
      <c r="P2" s="58"/>
      <c r="Q2" s="58"/>
      <c r="R2" s="58"/>
    </row>
    <row r="3" spans="1:18" ht="16.5" customHeight="1" x14ac:dyDescent="0.35">
      <c r="A3" s="58"/>
      <c r="B3" s="207" t="s">
        <v>163</v>
      </c>
      <c r="C3" s="207"/>
      <c r="D3" s="205"/>
      <c r="E3" s="205"/>
      <c r="F3" s="205"/>
      <c r="G3" s="205"/>
      <c r="H3" s="205"/>
      <c r="I3" s="205"/>
      <c r="J3" s="205"/>
      <c r="K3" s="207" t="s">
        <v>2</v>
      </c>
      <c r="L3" s="207"/>
      <c r="M3" s="207"/>
      <c r="N3" s="205"/>
      <c r="O3" s="205"/>
      <c r="P3" s="2" t="s">
        <v>169</v>
      </c>
      <c r="Q3" s="58"/>
      <c r="R3" s="58"/>
    </row>
    <row r="4" spans="1:18" ht="16.5" customHeight="1" x14ac:dyDescent="0.35">
      <c r="A4" s="58"/>
      <c r="B4" s="207" t="s">
        <v>112</v>
      </c>
      <c r="C4" s="207"/>
      <c r="D4" s="206"/>
      <c r="E4" s="206"/>
      <c r="F4" s="206"/>
      <c r="G4" s="206"/>
      <c r="H4" s="206"/>
      <c r="I4" s="206"/>
      <c r="J4" s="206"/>
      <c r="K4" s="207" t="s">
        <v>165</v>
      </c>
      <c r="L4" s="207"/>
      <c r="M4" s="207"/>
      <c r="N4" s="205"/>
      <c r="O4" s="205"/>
      <c r="P4" s="205"/>
      <c r="Q4" s="58"/>
      <c r="R4" s="150" t="s">
        <v>262</v>
      </c>
    </row>
    <row r="5" spans="1:18" ht="16.5" customHeight="1" x14ac:dyDescent="0.35">
      <c r="A5" s="58"/>
      <c r="B5" s="28"/>
      <c r="C5" s="58"/>
      <c r="D5" s="206"/>
      <c r="E5" s="206"/>
      <c r="F5" s="206"/>
      <c r="G5" s="206"/>
      <c r="H5" s="206"/>
      <c r="I5" s="206"/>
      <c r="J5" s="206"/>
      <c r="K5" s="207" t="s">
        <v>166</v>
      </c>
      <c r="L5" s="207"/>
      <c r="M5" s="207"/>
      <c r="N5" s="206"/>
      <c r="O5" s="206"/>
      <c r="P5" s="206"/>
      <c r="Q5" s="58"/>
      <c r="R5" s="151">
        <v>45517</v>
      </c>
    </row>
    <row r="6" spans="1:18" ht="16.5" x14ac:dyDescent="0.35">
      <c r="A6" s="58"/>
      <c r="B6" s="207" t="s">
        <v>113</v>
      </c>
      <c r="C6" s="207"/>
      <c r="D6" s="59"/>
      <c r="E6" s="103"/>
      <c r="F6" s="102" t="s">
        <v>171</v>
      </c>
      <c r="G6" s="100"/>
      <c r="H6" s="101" t="s">
        <v>172</v>
      </c>
      <c r="I6" s="100"/>
      <c r="J6" s="58"/>
      <c r="K6" s="58"/>
      <c r="L6" s="3"/>
      <c r="M6" s="3"/>
      <c r="N6" s="3"/>
      <c r="O6" s="3"/>
      <c r="P6" s="58"/>
      <c r="Q6" s="58"/>
      <c r="R6" s="58"/>
    </row>
    <row r="7" spans="1:18" ht="16.5" x14ac:dyDescent="0.35">
      <c r="A7" s="58"/>
      <c r="B7" s="28"/>
      <c r="C7" s="58"/>
      <c r="D7" s="3"/>
      <c r="E7" s="104"/>
      <c r="F7" s="104"/>
      <c r="G7" s="58"/>
      <c r="H7" s="58"/>
      <c r="I7" s="58"/>
      <c r="J7" s="58"/>
      <c r="K7" s="58"/>
      <c r="L7" s="3"/>
      <c r="M7" s="155" t="s">
        <v>123</v>
      </c>
      <c r="N7" s="155"/>
      <c r="O7" s="155"/>
      <c r="P7" s="58"/>
      <c r="Q7" s="212" t="s">
        <v>187</v>
      </c>
      <c r="R7" s="212"/>
    </row>
    <row r="8" spans="1:18" ht="16.5" x14ac:dyDescent="0.35">
      <c r="A8" s="58"/>
      <c r="B8" s="155" t="s">
        <v>114</v>
      </c>
      <c r="C8" s="155"/>
      <c r="D8" s="155"/>
      <c r="E8" s="155"/>
      <c r="F8" s="104"/>
      <c r="G8" s="58"/>
      <c r="H8" s="58"/>
      <c r="I8" s="58"/>
      <c r="J8" s="58"/>
      <c r="K8" s="58"/>
      <c r="L8" s="3"/>
      <c r="M8" s="195"/>
      <c r="N8" s="196"/>
      <c r="O8" s="197"/>
      <c r="P8" s="58"/>
      <c r="Q8" s="213"/>
      <c r="R8" s="213"/>
    </row>
    <row r="9" spans="1:18" ht="16.5" customHeight="1" x14ac:dyDescent="0.35">
      <c r="A9" s="62"/>
      <c r="B9" s="194" t="s">
        <v>116</v>
      </c>
      <c r="C9" s="194"/>
      <c r="D9" s="194"/>
      <c r="E9" s="194"/>
      <c r="F9" s="194"/>
      <c r="G9" s="194"/>
      <c r="H9" s="194"/>
      <c r="I9" s="194"/>
      <c r="J9" s="194"/>
      <c r="K9" s="194"/>
      <c r="L9" s="71"/>
      <c r="M9" s="198"/>
      <c r="N9" s="199"/>
      <c r="O9" s="200"/>
      <c r="P9" s="58"/>
      <c r="Q9" s="58" t="s">
        <v>188</v>
      </c>
      <c r="R9" s="58"/>
    </row>
    <row r="10" spans="1:18" ht="16.5" x14ac:dyDescent="0.35">
      <c r="A10" s="62"/>
      <c r="B10" s="194"/>
      <c r="C10" s="194"/>
      <c r="D10" s="194"/>
      <c r="E10" s="194"/>
      <c r="F10" s="194"/>
      <c r="G10" s="194"/>
      <c r="H10" s="194"/>
      <c r="I10" s="194"/>
      <c r="J10" s="194"/>
      <c r="K10" s="194"/>
      <c r="L10" s="71"/>
      <c r="M10" s="198"/>
      <c r="N10" s="199"/>
      <c r="O10" s="200"/>
      <c r="P10" s="58"/>
      <c r="Q10" s="58" t="s">
        <v>189</v>
      </c>
      <c r="R10" s="58"/>
    </row>
    <row r="11" spans="1:18" ht="16.5" x14ac:dyDescent="0.35">
      <c r="A11" s="62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71"/>
      <c r="M11" s="198"/>
      <c r="N11" s="199"/>
      <c r="O11" s="200"/>
      <c r="P11" s="58"/>
      <c r="Q11" s="58"/>
      <c r="R11" s="58"/>
    </row>
    <row r="12" spans="1:18" ht="16.5" x14ac:dyDescent="0.35">
      <c r="A12" s="62"/>
      <c r="B12" s="194"/>
      <c r="C12" s="194"/>
      <c r="D12" s="194"/>
      <c r="E12" s="194"/>
      <c r="F12" s="194"/>
      <c r="G12" s="194"/>
      <c r="H12" s="194"/>
      <c r="I12" s="194"/>
      <c r="J12" s="194"/>
      <c r="K12" s="194"/>
      <c r="L12" s="71"/>
      <c r="M12" s="198"/>
      <c r="N12" s="199"/>
      <c r="O12" s="200"/>
      <c r="P12" s="58"/>
      <c r="Q12" s="58"/>
      <c r="R12" s="58"/>
    </row>
    <row r="13" spans="1:18" ht="16.5" x14ac:dyDescent="0.35">
      <c r="A13" s="62"/>
      <c r="B13" s="194"/>
      <c r="C13" s="194"/>
      <c r="D13" s="194"/>
      <c r="E13" s="194"/>
      <c r="F13" s="194"/>
      <c r="G13" s="194"/>
      <c r="H13" s="194"/>
      <c r="I13" s="194"/>
      <c r="J13" s="194"/>
      <c r="K13" s="194"/>
      <c r="L13" s="71"/>
      <c r="M13" s="198"/>
      <c r="N13" s="199"/>
      <c r="O13" s="200"/>
      <c r="P13" s="58"/>
      <c r="Q13" s="58"/>
      <c r="R13" s="58"/>
    </row>
    <row r="14" spans="1:18" ht="16.5" x14ac:dyDescent="0.35">
      <c r="A14" s="62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7"/>
      <c r="M14" s="201"/>
      <c r="N14" s="202"/>
      <c r="O14" s="203"/>
      <c r="P14" s="58"/>
      <c r="Q14" s="58"/>
      <c r="R14" s="58"/>
    </row>
    <row r="15" spans="1:18" ht="16.5" x14ac:dyDescent="0.35">
      <c r="A15" s="62"/>
      <c r="B15" s="204" t="s">
        <v>117</v>
      </c>
      <c r="C15" s="204"/>
      <c r="D15" s="204"/>
      <c r="E15" s="204"/>
      <c r="F15" s="204"/>
      <c r="G15" s="204"/>
      <c r="H15" s="80"/>
      <c r="I15" s="66" t="s">
        <v>119</v>
      </c>
      <c r="J15" s="63"/>
      <c r="K15" s="58"/>
      <c r="L15" s="58"/>
      <c r="M15" s="95" t="s">
        <v>124</v>
      </c>
      <c r="N15" s="156"/>
      <c r="O15" s="156"/>
      <c r="P15" s="58"/>
      <c r="Q15" s="58"/>
      <c r="R15" s="58"/>
    </row>
    <row r="16" spans="1:18" ht="16.5" x14ac:dyDescent="0.35">
      <c r="A16" s="62"/>
      <c r="B16" s="159" t="s">
        <v>154</v>
      </c>
      <c r="C16" s="159"/>
      <c r="D16" s="159"/>
      <c r="E16" s="159"/>
      <c r="F16" s="159"/>
      <c r="G16" s="159"/>
      <c r="H16" s="94"/>
      <c r="I16" s="3" t="s">
        <v>119</v>
      </c>
      <c r="J16" s="58"/>
      <c r="K16" s="66"/>
      <c r="L16" s="66"/>
      <c r="M16" s="96" t="s">
        <v>125</v>
      </c>
      <c r="N16" s="157"/>
      <c r="O16" s="157"/>
      <c r="P16" s="58"/>
      <c r="Q16" s="58"/>
      <c r="R16" s="58"/>
    </row>
    <row r="17" spans="1:20" ht="16.5" x14ac:dyDescent="0.35">
      <c r="A17" s="62"/>
      <c r="B17" s="167" t="s">
        <v>175</v>
      </c>
      <c r="C17" s="167"/>
      <c r="D17" s="167"/>
      <c r="E17" s="167"/>
      <c r="F17" s="167"/>
      <c r="G17" s="167"/>
      <c r="H17" s="99" t="e">
        <f>H16/H15</f>
        <v>#DIV/0!</v>
      </c>
      <c r="I17" s="66" t="s">
        <v>120</v>
      </c>
      <c r="J17" s="66"/>
      <c r="K17" s="64"/>
      <c r="L17" s="64"/>
      <c r="M17" s="64"/>
      <c r="N17" s="64"/>
      <c r="O17" s="64"/>
      <c r="P17" s="58"/>
      <c r="Q17" s="58"/>
      <c r="R17" s="58"/>
    </row>
    <row r="18" spans="1:20" ht="16.5" x14ac:dyDescent="0.35">
      <c r="A18" s="62"/>
      <c r="B18" s="159" t="s">
        <v>121</v>
      </c>
      <c r="C18" s="159"/>
      <c r="D18" s="159"/>
      <c r="E18" s="159"/>
      <c r="F18" s="159"/>
      <c r="G18" s="159"/>
      <c r="H18" s="159"/>
      <c r="I18" s="159"/>
      <c r="J18" s="159"/>
      <c r="K18" s="159"/>
      <c r="L18" s="70" t="s">
        <v>147</v>
      </c>
      <c r="M18" s="58"/>
      <c r="N18" s="64"/>
      <c r="O18" s="64"/>
      <c r="P18" s="58"/>
      <c r="Q18" s="58"/>
      <c r="R18" s="58"/>
    </row>
    <row r="19" spans="1:20" ht="16.5" x14ac:dyDescent="0.35">
      <c r="A19" s="62"/>
      <c r="B19" s="159" t="s">
        <v>122</v>
      </c>
      <c r="C19" s="159"/>
      <c r="D19" s="159"/>
      <c r="E19" s="159"/>
      <c r="F19" s="159"/>
      <c r="G19" s="159"/>
      <c r="H19" s="159"/>
      <c r="I19" s="159"/>
      <c r="J19" s="159"/>
      <c r="K19" s="159"/>
      <c r="L19" s="70" t="s">
        <v>147</v>
      </c>
      <c r="M19" s="58"/>
      <c r="N19" s="64"/>
      <c r="O19" s="64"/>
      <c r="P19" s="58"/>
      <c r="Q19" s="58"/>
      <c r="R19" s="58"/>
    </row>
    <row r="20" spans="1:20" s="58" customFormat="1" ht="16.5" customHeight="1" x14ac:dyDescent="0.35">
      <c r="A20" s="62"/>
      <c r="B20" s="2" t="s">
        <v>259</v>
      </c>
      <c r="C20" s="2"/>
      <c r="D20" s="2"/>
      <c r="E20" s="2"/>
      <c r="F20" s="2"/>
      <c r="G20" s="2"/>
      <c r="H20" s="94"/>
      <c r="I20" s="66" t="s">
        <v>120</v>
      </c>
      <c r="J20" s="2"/>
      <c r="K20" s="2"/>
      <c r="L20" s="64"/>
      <c r="N20" s="64"/>
      <c r="O20" s="64"/>
    </row>
    <row r="21" spans="1:20" s="58" customFormat="1" ht="16.5" customHeight="1" x14ac:dyDescent="0.35">
      <c r="A21" s="62"/>
      <c r="B21" s="2" t="s">
        <v>260</v>
      </c>
      <c r="C21" s="2"/>
      <c r="D21" s="2"/>
      <c r="E21" s="2"/>
      <c r="F21" s="2"/>
      <c r="G21" s="2"/>
      <c r="H21" s="94"/>
      <c r="I21" s="66" t="s">
        <v>120</v>
      </c>
      <c r="J21" s="2"/>
      <c r="K21" s="2"/>
      <c r="L21" s="64"/>
      <c r="N21" s="64"/>
      <c r="O21" s="64"/>
    </row>
    <row r="22" spans="1:20" s="58" customFormat="1" ht="16.5" customHeight="1" x14ac:dyDescent="0.35">
      <c r="A22" s="62"/>
      <c r="B22" s="2" t="s">
        <v>261</v>
      </c>
      <c r="C22" s="2"/>
      <c r="D22" s="2"/>
      <c r="E22" s="2"/>
      <c r="F22" s="2"/>
      <c r="G22" s="2"/>
      <c r="H22" s="94"/>
      <c r="I22" s="66" t="s">
        <v>120</v>
      </c>
      <c r="J22" s="2"/>
      <c r="K22" s="2"/>
      <c r="L22" s="64"/>
      <c r="N22" s="64"/>
      <c r="O22" s="64"/>
    </row>
    <row r="23" spans="1:20" ht="16.5" x14ac:dyDescent="0.35">
      <c r="A23" s="62"/>
      <c r="B23" s="65"/>
      <c r="C23" s="58"/>
      <c r="D23" s="58"/>
      <c r="E23" s="63"/>
      <c r="F23" s="63"/>
      <c r="G23" s="58"/>
      <c r="H23" s="58"/>
      <c r="I23" s="58"/>
      <c r="J23" s="62"/>
      <c r="K23" s="64"/>
      <c r="L23" s="64"/>
      <c r="M23" s="64"/>
      <c r="N23" s="64"/>
      <c r="O23" s="64"/>
      <c r="P23" s="58"/>
      <c r="Q23" s="58"/>
      <c r="R23" s="58"/>
    </row>
    <row r="24" spans="1:20" ht="16.5" x14ac:dyDescent="0.35">
      <c r="A24" s="62"/>
      <c r="B24" s="98" t="s">
        <v>115</v>
      </c>
      <c r="C24" s="160" t="s">
        <v>168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</row>
    <row r="25" spans="1:20" ht="16.5" x14ac:dyDescent="0.35">
      <c r="A25" s="62"/>
      <c r="B25" s="66"/>
      <c r="C25" s="158" t="s">
        <v>167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</row>
    <row r="26" spans="1:20" ht="16.5" x14ac:dyDescent="0.35">
      <c r="A26" s="62"/>
      <c r="B26" s="66"/>
      <c r="C26" s="158" t="s">
        <v>173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</row>
    <row r="27" spans="1:20" ht="16.5" x14ac:dyDescent="0.35">
      <c r="A27" s="62"/>
      <c r="B27" s="66"/>
      <c r="C27" s="158" t="s">
        <v>174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86" t="s">
        <v>170</v>
      </c>
      <c r="N27" s="186"/>
      <c r="O27" s="105"/>
      <c r="P27" s="106"/>
      <c r="Q27" s="106"/>
      <c r="R27" s="106"/>
    </row>
    <row r="28" spans="1:20" ht="16.5" x14ac:dyDescent="0.35">
      <c r="A28" s="62"/>
      <c r="B28" s="65"/>
      <c r="D28" s="58"/>
      <c r="E28" s="63"/>
      <c r="F28" s="63"/>
      <c r="G28" s="58"/>
      <c r="H28" s="58"/>
      <c r="I28" s="58"/>
      <c r="J28" s="62"/>
      <c r="K28" s="64"/>
      <c r="L28" s="64"/>
      <c r="M28" s="97"/>
      <c r="O28" s="64"/>
      <c r="P28" s="58"/>
      <c r="Q28" s="58"/>
      <c r="R28" s="58"/>
    </row>
    <row r="29" spans="1:20" s="69" customFormat="1" ht="15" customHeight="1" x14ac:dyDescent="0.3">
      <c r="A29" s="163" t="s">
        <v>33</v>
      </c>
      <c r="B29" s="168" t="s">
        <v>176</v>
      </c>
      <c r="C29" s="169"/>
      <c r="D29" s="169"/>
      <c r="E29" s="169"/>
      <c r="F29" s="169"/>
      <c r="G29" s="170"/>
      <c r="H29" s="177" t="s">
        <v>177</v>
      </c>
      <c r="I29" s="178"/>
      <c r="J29" s="178"/>
      <c r="K29" s="178"/>
      <c r="L29" s="179"/>
      <c r="M29" s="187" t="s">
        <v>178</v>
      </c>
      <c r="N29" s="188"/>
      <c r="O29" s="188"/>
      <c r="P29" s="189"/>
      <c r="Q29" s="154" t="s">
        <v>179</v>
      </c>
      <c r="R29" s="154"/>
    </row>
    <row r="30" spans="1:20" s="69" customFormat="1" ht="15" customHeight="1" x14ac:dyDescent="0.3">
      <c r="A30" s="164"/>
      <c r="B30" s="171"/>
      <c r="C30" s="172"/>
      <c r="D30" s="172"/>
      <c r="E30" s="172"/>
      <c r="F30" s="172"/>
      <c r="G30" s="173"/>
      <c r="H30" s="180"/>
      <c r="I30" s="181"/>
      <c r="J30" s="181"/>
      <c r="K30" s="181"/>
      <c r="L30" s="182"/>
      <c r="M30" s="190"/>
      <c r="N30" s="191"/>
      <c r="O30" s="191"/>
      <c r="P30" s="192"/>
      <c r="Q30" s="154"/>
      <c r="R30" s="154"/>
    </row>
    <row r="31" spans="1:20" s="72" customFormat="1" ht="68.25" customHeight="1" x14ac:dyDescent="0.3">
      <c r="A31" s="165"/>
      <c r="B31" s="75" t="s">
        <v>131</v>
      </c>
      <c r="C31" s="75" t="s">
        <v>36</v>
      </c>
      <c r="D31" s="75" t="s">
        <v>132</v>
      </c>
      <c r="E31" s="75" t="s">
        <v>37</v>
      </c>
      <c r="F31" s="75" t="s">
        <v>133</v>
      </c>
      <c r="G31" s="75" t="s">
        <v>38</v>
      </c>
      <c r="H31" s="76" t="s">
        <v>134</v>
      </c>
      <c r="I31" s="77" t="s">
        <v>141</v>
      </c>
      <c r="J31" s="76" t="s">
        <v>143</v>
      </c>
      <c r="K31" s="77" t="s">
        <v>142</v>
      </c>
      <c r="L31" s="76" t="s">
        <v>144</v>
      </c>
      <c r="M31" s="74" t="s">
        <v>129</v>
      </c>
      <c r="N31" s="74" t="s">
        <v>130</v>
      </c>
      <c r="O31" s="74" t="s">
        <v>127</v>
      </c>
      <c r="P31" s="74" t="s">
        <v>128</v>
      </c>
      <c r="Q31" s="154"/>
      <c r="R31" s="154"/>
    </row>
    <row r="32" spans="1:20" s="69" customFormat="1" ht="14" x14ac:dyDescent="0.3">
      <c r="A32" s="109"/>
      <c r="B32" s="110"/>
      <c r="C32" s="109"/>
      <c r="D32" s="110"/>
      <c r="E32" s="110"/>
      <c r="F32" s="109"/>
      <c r="G32" s="109"/>
      <c r="H32" s="109"/>
      <c r="I32" s="109"/>
      <c r="J32" s="109"/>
      <c r="K32" s="109"/>
      <c r="L32" s="109"/>
      <c r="M32" s="109"/>
      <c r="N32" s="109"/>
      <c r="O32" s="111"/>
      <c r="P32" s="112" t="str">
        <f t="shared" ref="P32:P41" si="0">IF(O32=0,"No input",IF(O32&gt;=3%,IF(O32&lt;=5%,"YES","&gt;5%"),"&lt;3%"))</f>
        <v>No input</v>
      </c>
      <c r="Q32" s="153"/>
      <c r="R32" s="153"/>
      <c r="T32" s="85" t="s">
        <v>90</v>
      </c>
    </row>
    <row r="33" spans="1:20" s="69" customFormat="1" ht="14" x14ac:dyDescent="0.3">
      <c r="A33" s="109"/>
      <c r="B33" s="110"/>
      <c r="C33" s="109"/>
      <c r="D33" s="110"/>
      <c r="E33" s="110"/>
      <c r="F33" s="109"/>
      <c r="G33" s="109"/>
      <c r="H33" s="109"/>
      <c r="I33" s="109"/>
      <c r="J33" s="109"/>
      <c r="K33" s="109"/>
      <c r="L33" s="109"/>
      <c r="M33" s="109"/>
      <c r="N33" s="109"/>
      <c r="O33" s="111"/>
      <c r="P33" s="112" t="str">
        <f t="shared" si="0"/>
        <v>No input</v>
      </c>
      <c r="Q33" s="153"/>
      <c r="R33" s="153"/>
    </row>
    <row r="34" spans="1:20" s="69" customFormat="1" ht="14" x14ac:dyDescent="0.3">
      <c r="A34" s="109"/>
      <c r="B34" s="110"/>
      <c r="C34" s="109"/>
      <c r="D34" s="110"/>
      <c r="E34" s="110"/>
      <c r="F34" s="109"/>
      <c r="G34" s="109"/>
      <c r="H34" s="109"/>
      <c r="I34" s="109"/>
      <c r="J34" s="109"/>
      <c r="K34" s="109"/>
      <c r="L34" s="109"/>
      <c r="M34" s="109"/>
      <c r="N34" s="109"/>
      <c r="O34" s="111"/>
      <c r="P34" s="112" t="str">
        <f t="shared" si="0"/>
        <v>No input</v>
      </c>
      <c r="Q34" s="153"/>
      <c r="R34" s="153"/>
    </row>
    <row r="35" spans="1:20" s="69" customFormat="1" ht="14" x14ac:dyDescent="0.3">
      <c r="A35" s="109"/>
      <c r="B35" s="110"/>
      <c r="C35" s="109"/>
      <c r="D35" s="110"/>
      <c r="E35" s="110"/>
      <c r="F35" s="109"/>
      <c r="G35" s="109"/>
      <c r="H35" s="109"/>
      <c r="I35" s="109"/>
      <c r="J35" s="109"/>
      <c r="K35" s="109"/>
      <c r="L35" s="109"/>
      <c r="M35" s="109"/>
      <c r="N35" s="109"/>
      <c r="O35" s="111"/>
      <c r="P35" s="112" t="str">
        <f t="shared" si="0"/>
        <v>No input</v>
      </c>
      <c r="Q35" s="153"/>
      <c r="R35" s="153"/>
    </row>
    <row r="36" spans="1:20" s="69" customFormat="1" ht="14" x14ac:dyDescent="0.3">
      <c r="A36" s="109"/>
      <c r="B36" s="110"/>
      <c r="C36" s="109"/>
      <c r="D36" s="110"/>
      <c r="E36" s="110"/>
      <c r="F36" s="109"/>
      <c r="G36" s="109"/>
      <c r="H36" s="109"/>
      <c r="I36" s="109"/>
      <c r="J36" s="109"/>
      <c r="K36" s="109"/>
      <c r="L36" s="109"/>
      <c r="M36" s="109"/>
      <c r="N36" s="109"/>
      <c r="O36" s="111"/>
      <c r="P36" s="112" t="str">
        <f t="shared" si="0"/>
        <v>No input</v>
      </c>
      <c r="Q36" s="153"/>
      <c r="R36" s="153"/>
    </row>
    <row r="37" spans="1:20" s="69" customFormat="1" ht="14" x14ac:dyDescent="0.3">
      <c r="A37" s="109"/>
      <c r="B37" s="110"/>
      <c r="C37" s="109"/>
      <c r="D37" s="110"/>
      <c r="E37" s="110"/>
      <c r="F37" s="109"/>
      <c r="G37" s="109"/>
      <c r="H37" s="109"/>
      <c r="I37" s="109"/>
      <c r="J37" s="109"/>
      <c r="K37" s="109"/>
      <c r="L37" s="109"/>
      <c r="M37" s="109"/>
      <c r="N37" s="109"/>
      <c r="O37" s="111"/>
      <c r="P37" s="112" t="str">
        <f t="shared" si="0"/>
        <v>No input</v>
      </c>
      <c r="Q37" s="153"/>
      <c r="R37" s="153"/>
    </row>
    <row r="38" spans="1:20" s="69" customFormat="1" ht="14" x14ac:dyDescent="0.3">
      <c r="A38" s="109"/>
      <c r="B38" s="110"/>
      <c r="C38" s="109"/>
      <c r="D38" s="110"/>
      <c r="E38" s="110"/>
      <c r="F38" s="109"/>
      <c r="G38" s="109"/>
      <c r="H38" s="109"/>
      <c r="I38" s="109"/>
      <c r="J38" s="109"/>
      <c r="K38" s="109"/>
      <c r="L38" s="109"/>
      <c r="M38" s="109"/>
      <c r="N38" s="109"/>
      <c r="O38" s="111"/>
      <c r="P38" s="112" t="str">
        <f t="shared" si="0"/>
        <v>No input</v>
      </c>
      <c r="Q38" s="153"/>
      <c r="R38" s="153"/>
    </row>
    <row r="39" spans="1:20" s="69" customFormat="1" ht="14" x14ac:dyDescent="0.3">
      <c r="A39" s="109"/>
      <c r="B39" s="110"/>
      <c r="C39" s="109"/>
      <c r="D39" s="110"/>
      <c r="E39" s="110"/>
      <c r="F39" s="109"/>
      <c r="G39" s="109"/>
      <c r="H39" s="109"/>
      <c r="I39" s="109"/>
      <c r="J39" s="109"/>
      <c r="K39" s="109"/>
      <c r="L39" s="109"/>
      <c r="M39" s="109"/>
      <c r="N39" s="109"/>
      <c r="O39" s="111"/>
      <c r="P39" s="112" t="str">
        <f t="shared" si="0"/>
        <v>No input</v>
      </c>
      <c r="Q39" s="153"/>
      <c r="R39" s="153"/>
    </row>
    <row r="40" spans="1:20" s="69" customFormat="1" ht="14" x14ac:dyDescent="0.3">
      <c r="A40" s="109"/>
      <c r="B40" s="110"/>
      <c r="C40" s="109"/>
      <c r="D40" s="110"/>
      <c r="E40" s="110"/>
      <c r="F40" s="109"/>
      <c r="G40" s="109"/>
      <c r="H40" s="109"/>
      <c r="I40" s="109"/>
      <c r="J40" s="109"/>
      <c r="K40" s="109"/>
      <c r="L40" s="109"/>
      <c r="M40" s="109"/>
      <c r="N40" s="109"/>
      <c r="O40" s="111"/>
      <c r="P40" s="112" t="str">
        <f t="shared" si="0"/>
        <v>No input</v>
      </c>
      <c r="Q40" s="153"/>
      <c r="R40" s="153"/>
    </row>
    <row r="41" spans="1:20" s="69" customFormat="1" ht="14" x14ac:dyDescent="0.3">
      <c r="A41" s="109"/>
      <c r="B41" s="110"/>
      <c r="C41" s="109"/>
      <c r="D41" s="110"/>
      <c r="E41" s="110"/>
      <c r="F41" s="109"/>
      <c r="G41" s="109"/>
      <c r="H41" s="109"/>
      <c r="I41" s="109"/>
      <c r="J41" s="109"/>
      <c r="K41" s="109"/>
      <c r="L41" s="109"/>
      <c r="M41" s="109"/>
      <c r="N41" s="109"/>
      <c r="O41" s="111"/>
      <c r="P41" s="112" t="str">
        <f t="shared" si="0"/>
        <v>No input</v>
      </c>
      <c r="Q41" s="153"/>
      <c r="R41" s="153"/>
    </row>
    <row r="42" spans="1:20" s="69" customFormat="1" ht="14" x14ac:dyDescent="0.3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</row>
    <row r="43" spans="1:20" s="69" customFormat="1" ht="14" x14ac:dyDescent="0.3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</row>
    <row r="44" spans="1:20" s="69" customFormat="1" ht="14.25" customHeight="1" x14ac:dyDescent="0.3">
      <c r="A44" s="163" t="s">
        <v>33</v>
      </c>
      <c r="B44" s="210" t="s">
        <v>180</v>
      </c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9" t="s">
        <v>179</v>
      </c>
      <c r="P44" s="209"/>
      <c r="Q44" s="73"/>
      <c r="R44" s="73"/>
      <c r="T44" s="85" t="s">
        <v>12</v>
      </c>
    </row>
    <row r="45" spans="1:20" s="69" customFormat="1" ht="14.25" customHeight="1" x14ac:dyDescent="0.3">
      <c r="A45" s="164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9"/>
      <c r="P45" s="209"/>
      <c r="Q45" s="73"/>
      <c r="R45" s="73"/>
    </row>
    <row r="46" spans="1:20" s="69" customFormat="1" ht="65.5" x14ac:dyDescent="0.4">
      <c r="A46" s="165"/>
      <c r="B46" s="78" t="s">
        <v>107</v>
      </c>
      <c r="C46" s="78" t="s">
        <v>135</v>
      </c>
      <c r="D46" s="78" t="s">
        <v>136</v>
      </c>
      <c r="E46" s="78" t="s">
        <v>111</v>
      </c>
      <c r="F46" s="78" t="s">
        <v>52</v>
      </c>
      <c r="G46" s="78" t="s">
        <v>104</v>
      </c>
      <c r="H46" s="78" t="s">
        <v>151</v>
      </c>
      <c r="I46" s="107" t="s">
        <v>137</v>
      </c>
      <c r="J46" s="107" t="s">
        <v>185</v>
      </c>
      <c r="K46" s="107" t="s">
        <v>164</v>
      </c>
      <c r="L46" s="107" t="s">
        <v>55</v>
      </c>
      <c r="M46" s="107" t="s">
        <v>138</v>
      </c>
      <c r="N46" s="79" t="s">
        <v>139</v>
      </c>
      <c r="O46" s="209"/>
      <c r="P46" s="209"/>
      <c r="Q46" s="73"/>
      <c r="R46" s="73"/>
    </row>
    <row r="47" spans="1:20" s="69" customFormat="1" ht="14" x14ac:dyDescent="0.3">
      <c r="A47" s="113">
        <f t="shared" ref="A47:A56" si="1">A32</f>
        <v>0</v>
      </c>
      <c r="B47" s="109"/>
      <c r="C47" s="109"/>
      <c r="D47" s="109"/>
      <c r="E47" s="109"/>
      <c r="F47" s="109"/>
      <c r="G47" s="114" t="str">
        <f>IF(F47=0,"No input",IF(F47&lt;4,"TOO STEEP","YES"))</f>
        <v>No input</v>
      </c>
      <c r="H47" s="109"/>
      <c r="I47" s="109"/>
      <c r="J47" s="147"/>
      <c r="K47" s="115"/>
      <c r="L47" s="109"/>
      <c r="M47" s="109"/>
      <c r="N47" s="114" t="str">
        <f t="shared" ref="N47:N56" si="2">IF(M47=0,"No input",IF(M47&gt;=J32,"YES","NO"))</f>
        <v>No input</v>
      </c>
      <c r="O47" s="153"/>
      <c r="P47" s="153"/>
      <c r="Q47" s="73"/>
      <c r="R47" s="73"/>
      <c r="T47" s="85"/>
    </row>
    <row r="48" spans="1:20" s="69" customFormat="1" ht="14" x14ac:dyDescent="0.3">
      <c r="A48" s="113">
        <f t="shared" si="1"/>
        <v>0</v>
      </c>
      <c r="B48" s="109"/>
      <c r="C48" s="109"/>
      <c r="D48" s="109"/>
      <c r="E48" s="109"/>
      <c r="F48" s="109"/>
      <c r="G48" s="114" t="str">
        <f t="shared" ref="G48:G56" si="3">IF(F48=0,"No input",IF(F48&lt;4,"TOO STEEP","YES"))</f>
        <v>No input</v>
      </c>
      <c r="H48" s="109"/>
      <c r="I48" s="109"/>
      <c r="J48" s="147"/>
      <c r="K48" s="115"/>
      <c r="L48" s="109"/>
      <c r="M48" s="109"/>
      <c r="N48" s="114" t="str">
        <f t="shared" si="2"/>
        <v>No input</v>
      </c>
      <c r="O48" s="153"/>
      <c r="P48" s="153"/>
      <c r="Q48" s="73"/>
      <c r="R48" s="73"/>
    </row>
    <row r="49" spans="1:20" s="69" customFormat="1" ht="14" x14ac:dyDescent="0.3">
      <c r="A49" s="113">
        <f t="shared" si="1"/>
        <v>0</v>
      </c>
      <c r="B49" s="109"/>
      <c r="C49" s="109"/>
      <c r="D49" s="109"/>
      <c r="E49" s="109"/>
      <c r="F49" s="109"/>
      <c r="G49" s="114" t="str">
        <f t="shared" si="3"/>
        <v>No input</v>
      </c>
      <c r="H49" s="109"/>
      <c r="I49" s="109"/>
      <c r="J49" s="147"/>
      <c r="K49" s="115"/>
      <c r="L49" s="109"/>
      <c r="M49" s="109"/>
      <c r="N49" s="114" t="str">
        <f t="shared" si="2"/>
        <v>No input</v>
      </c>
      <c r="O49" s="153"/>
      <c r="P49" s="153"/>
      <c r="Q49" s="73"/>
      <c r="R49" s="73"/>
    </row>
    <row r="50" spans="1:20" s="69" customFormat="1" ht="14" x14ac:dyDescent="0.3">
      <c r="A50" s="113">
        <f t="shared" si="1"/>
        <v>0</v>
      </c>
      <c r="B50" s="109"/>
      <c r="C50" s="109"/>
      <c r="D50" s="109"/>
      <c r="E50" s="109"/>
      <c r="F50" s="109"/>
      <c r="G50" s="114" t="str">
        <f t="shared" si="3"/>
        <v>No input</v>
      </c>
      <c r="H50" s="109"/>
      <c r="I50" s="109"/>
      <c r="J50" s="147"/>
      <c r="K50" s="115"/>
      <c r="L50" s="109"/>
      <c r="M50" s="109"/>
      <c r="N50" s="114" t="str">
        <f t="shared" si="2"/>
        <v>No input</v>
      </c>
      <c r="O50" s="153"/>
      <c r="P50" s="153"/>
      <c r="Q50" s="73"/>
      <c r="R50" s="73"/>
    </row>
    <row r="51" spans="1:20" s="69" customFormat="1" ht="14" x14ac:dyDescent="0.3">
      <c r="A51" s="113">
        <f t="shared" si="1"/>
        <v>0</v>
      </c>
      <c r="B51" s="109"/>
      <c r="C51" s="109"/>
      <c r="D51" s="109"/>
      <c r="E51" s="109"/>
      <c r="F51" s="109"/>
      <c r="G51" s="114" t="str">
        <f t="shared" si="3"/>
        <v>No input</v>
      </c>
      <c r="H51" s="109"/>
      <c r="I51" s="109"/>
      <c r="J51" s="147"/>
      <c r="K51" s="115"/>
      <c r="L51" s="109"/>
      <c r="M51" s="109"/>
      <c r="N51" s="114" t="str">
        <f t="shared" si="2"/>
        <v>No input</v>
      </c>
      <c r="O51" s="153"/>
      <c r="P51" s="153"/>
      <c r="Q51" s="73"/>
      <c r="R51" s="73"/>
    </row>
    <row r="52" spans="1:20" s="69" customFormat="1" ht="14" x14ac:dyDescent="0.3">
      <c r="A52" s="113">
        <f t="shared" si="1"/>
        <v>0</v>
      </c>
      <c r="B52" s="109"/>
      <c r="C52" s="109"/>
      <c r="D52" s="109"/>
      <c r="E52" s="109"/>
      <c r="F52" s="109"/>
      <c r="G52" s="114" t="str">
        <f t="shared" si="3"/>
        <v>No input</v>
      </c>
      <c r="H52" s="109"/>
      <c r="I52" s="109"/>
      <c r="J52" s="147"/>
      <c r="K52" s="115"/>
      <c r="L52" s="109"/>
      <c r="M52" s="109"/>
      <c r="N52" s="114" t="str">
        <f t="shared" si="2"/>
        <v>No input</v>
      </c>
      <c r="O52" s="153"/>
      <c r="P52" s="153"/>
      <c r="Q52" s="73"/>
      <c r="R52" s="73"/>
    </row>
    <row r="53" spans="1:20" s="69" customFormat="1" ht="14" x14ac:dyDescent="0.3">
      <c r="A53" s="113">
        <f t="shared" si="1"/>
        <v>0</v>
      </c>
      <c r="B53" s="109"/>
      <c r="C53" s="109"/>
      <c r="D53" s="109"/>
      <c r="E53" s="109"/>
      <c r="F53" s="109"/>
      <c r="G53" s="114" t="str">
        <f t="shared" si="3"/>
        <v>No input</v>
      </c>
      <c r="H53" s="109"/>
      <c r="I53" s="109"/>
      <c r="J53" s="147"/>
      <c r="K53" s="115"/>
      <c r="L53" s="109"/>
      <c r="M53" s="109"/>
      <c r="N53" s="114" t="str">
        <f t="shared" si="2"/>
        <v>No input</v>
      </c>
      <c r="O53" s="153"/>
      <c r="P53" s="153"/>
      <c r="Q53" s="73"/>
      <c r="R53" s="73"/>
    </row>
    <row r="54" spans="1:20" s="69" customFormat="1" ht="14" x14ac:dyDescent="0.3">
      <c r="A54" s="113">
        <f t="shared" si="1"/>
        <v>0</v>
      </c>
      <c r="B54" s="109"/>
      <c r="C54" s="109"/>
      <c r="D54" s="109"/>
      <c r="E54" s="109"/>
      <c r="F54" s="109"/>
      <c r="G54" s="114" t="str">
        <f t="shared" si="3"/>
        <v>No input</v>
      </c>
      <c r="H54" s="109"/>
      <c r="I54" s="109"/>
      <c r="J54" s="147"/>
      <c r="K54" s="115"/>
      <c r="L54" s="109"/>
      <c r="M54" s="109"/>
      <c r="N54" s="114" t="str">
        <f t="shared" si="2"/>
        <v>No input</v>
      </c>
      <c r="O54" s="153"/>
      <c r="P54" s="153"/>
      <c r="Q54" s="73"/>
      <c r="R54" s="73"/>
    </row>
    <row r="55" spans="1:20" s="69" customFormat="1" ht="14" x14ac:dyDescent="0.3">
      <c r="A55" s="113">
        <f t="shared" si="1"/>
        <v>0</v>
      </c>
      <c r="B55" s="109"/>
      <c r="C55" s="109"/>
      <c r="D55" s="109"/>
      <c r="E55" s="109"/>
      <c r="F55" s="109"/>
      <c r="G55" s="114" t="str">
        <f t="shared" si="3"/>
        <v>No input</v>
      </c>
      <c r="H55" s="109"/>
      <c r="I55" s="109"/>
      <c r="J55" s="147"/>
      <c r="K55" s="115"/>
      <c r="L55" s="109"/>
      <c r="M55" s="109"/>
      <c r="N55" s="114" t="str">
        <f t="shared" si="2"/>
        <v>No input</v>
      </c>
      <c r="O55" s="153"/>
      <c r="P55" s="153"/>
      <c r="Q55" s="73"/>
      <c r="R55" s="73"/>
    </row>
    <row r="56" spans="1:20" s="69" customFormat="1" ht="14" x14ac:dyDescent="0.3">
      <c r="A56" s="113">
        <f t="shared" si="1"/>
        <v>0</v>
      </c>
      <c r="B56" s="109"/>
      <c r="C56" s="109"/>
      <c r="D56" s="109"/>
      <c r="E56" s="109"/>
      <c r="F56" s="109"/>
      <c r="G56" s="114" t="str">
        <f t="shared" si="3"/>
        <v>No input</v>
      </c>
      <c r="H56" s="109"/>
      <c r="I56" s="109"/>
      <c r="J56" s="147"/>
      <c r="K56" s="115"/>
      <c r="L56" s="109"/>
      <c r="M56" s="109"/>
      <c r="N56" s="114" t="str">
        <f t="shared" si="2"/>
        <v>No input</v>
      </c>
      <c r="O56" s="153"/>
      <c r="P56" s="153"/>
      <c r="Q56" s="73"/>
      <c r="R56" s="73"/>
    </row>
    <row r="57" spans="1:20" s="69" customFormat="1" ht="16" x14ac:dyDescent="0.4">
      <c r="A57" s="58"/>
      <c r="B57" s="58"/>
      <c r="C57" s="58"/>
      <c r="D57" s="58"/>
      <c r="E57" s="58"/>
      <c r="F57" s="58"/>
      <c r="G57" s="58"/>
      <c r="H57" s="58"/>
      <c r="I57" s="58"/>
      <c r="K57" s="58"/>
      <c r="L57" s="58"/>
      <c r="M57" s="58"/>
      <c r="N57" s="120" t="s">
        <v>190</v>
      </c>
      <c r="O57" s="58"/>
      <c r="P57" s="58"/>
      <c r="Q57" s="58"/>
      <c r="R57" s="58"/>
    </row>
    <row r="58" spans="1:20" s="69" customFormat="1" ht="14" x14ac:dyDescent="0.3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20" s="69" customFormat="1" ht="14.25" customHeight="1" x14ac:dyDescent="0.3">
      <c r="A59" s="163" t="s">
        <v>33</v>
      </c>
      <c r="B59" s="152" t="s">
        <v>181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211" t="s">
        <v>179</v>
      </c>
      <c r="O59" s="211"/>
      <c r="P59" s="58"/>
      <c r="Q59" s="58"/>
      <c r="R59" s="58"/>
    </row>
    <row r="60" spans="1:20" s="69" customFormat="1" ht="14.25" customHeight="1" x14ac:dyDescent="0.3">
      <c r="A60" s="164"/>
      <c r="B60" s="152" t="s">
        <v>145</v>
      </c>
      <c r="C60" s="152"/>
      <c r="D60" s="152"/>
      <c r="E60" s="152"/>
      <c r="F60" s="152"/>
      <c r="G60" s="152" t="s">
        <v>146</v>
      </c>
      <c r="H60" s="152"/>
      <c r="I60" s="152"/>
      <c r="J60" s="152"/>
      <c r="K60" s="152"/>
      <c r="L60" s="152"/>
      <c r="M60" s="152"/>
      <c r="N60" s="211"/>
      <c r="O60" s="211"/>
      <c r="P60" s="58"/>
      <c r="Q60" s="58"/>
      <c r="R60" s="58"/>
    </row>
    <row r="61" spans="1:20" s="69" customFormat="1" ht="54.5" x14ac:dyDescent="0.4">
      <c r="A61" s="165"/>
      <c r="B61" s="121" t="s">
        <v>191</v>
      </c>
      <c r="C61" s="121" t="s">
        <v>192</v>
      </c>
      <c r="D61" s="121" t="s">
        <v>193</v>
      </c>
      <c r="E61" s="121" t="s">
        <v>194</v>
      </c>
      <c r="F61" s="121" t="s">
        <v>195</v>
      </c>
      <c r="G61" s="121" t="s">
        <v>196</v>
      </c>
      <c r="H61" s="121" t="s">
        <v>197</v>
      </c>
      <c r="I61" s="121" t="s">
        <v>198</v>
      </c>
      <c r="J61" s="121" t="s">
        <v>199</v>
      </c>
      <c r="K61" s="121" t="s">
        <v>200</v>
      </c>
      <c r="L61" s="121" t="s">
        <v>201</v>
      </c>
      <c r="M61" s="121" t="s">
        <v>202</v>
      </c>
      <c r="N61" s="211"/>
      <c r="O61" s="211"/>
      <c r="P61" s="58"/>
      <c r="Q61" s="58"/>
      <c r="R61" s="58"/>
      <c r="T61" s="85" t="s">
        <v>153</v>
      </c>
    </row>
    <row r="62" spans="1:20" s="69" customFormat="1" ht="14" x14ac:dyDescent="0.3">
      <c r="A62" s="113">
        <f t="shared" ref="A62:A71" si="4">A32</f>
        <v>0</v>
      </c>
      <c r="B62" s="109"/>
      <c r="C62" s="148"/>
      <c r="D62" s="109"/>
      <c r="E62" s="109"/>
      <c r="F62" s="114" t="str">
        <f>IF(E62=0,"No input",IF(E62&lt;0.5,"YES","NO"))</f>
        <v>No input</v>
      </c>
      <c r="G62" s="109"/>
      <c r="H62" s="148"/>
      <c r="I62" s="109"/>
      <c r="J62" s="109"/>
      <c r="K62" s="114" t="str">
        <f>IF(J62=0,"No input",IF(J62&lt;2,"YES","NO"))</f>
        <v>No input</v>
      </c>
      <c r="L62" s="109"/>
      <c r="M62" s="114" t="str">
        <f>IF(L62=0,"No input",IF(L62&lt;0.4,"YES","NO"))</f>
        <v>No input</v>
      </c>
      <c r="N62" s="153"/>
      <c r="O62" s="153"/>
      <c r="P62" s="58"/>
      <c r="Q62" s="58"/>
      <c r="R62" s="58"/>
    </row>
    <row r="63" spans="1:20" x14ac:dyDescent="0.25">
      <c r="A63" s="113">
        <f t="shared" si="4"/>
        <v>0</v>
      </c>
      <c r="B63" s="109"/>
      <c r="C63" s="149"/>
      <c r="D63" s="109"/>
      <c r="E63" s="109"/>
      <c r="F63" s="114" t="str">
        <f t="shared" ref="F63:F71" si="5">IF(E63=0,"No input",IF(E63&lt;0.5,"YES","NO"))</f>
        <v>No input</v>
      </c>
      <c r="G63" s="109"/>
      <c r="H63" s="149"/>
      <c r="I63" s="109"/>
      <c r="J63" s="109"/>
      <c r="K63" s="114" t="str">
        <f t="shared" ref="K63:K71" si="6">IF(J63=0,"No input",IF(J63&lt;2,"YES","NO"))</f>
        <v>No input</v>
      </c>
      <c r="L63" s="109"/>
      <c r="M63" s="114" t="str">
        <f t="shared" ref="M63:M71" si="7">IF(L63=0,"No input",IF(L63&lt;0.4,"YES","NO"))</f>
        <v>No input</v>
      </c>
      <c r="N63" s="153"/>
      <c r="O63" s="153"/>
      <c r="P63" s="58"/>
      <c r="Q63" s="58"/>
      <c r="R63" s="58"/>
    </row>
    <row r="64" spans="1:20" x14ac:dyDescent="0.25">
      <c r="A64" s="113">
        <f t="shared" si="4"/>
        <v>0</v>
      </c>
      <c r="B64" s="109"/>
      <c r="C64" s="149"/>
      <c r="D64" s="109"/>
      <c r="E64" s="109"/>
      <c r="F64" s="114" t="str">
        <f t="shared" si="5"/>
        <v>No input</v>
      </c>
      <c r="G64" s="109"/>
      <c r="H64" s="149"/>
      <c r="I64" s="109"/>
      <c r="J64" s="109"/>
      <c r="K64" s="114" t="str">
        <f t="shared" si="6"/>
        <v>No input</v>
      </c>
      <c r="L64" s="109"/>
      <c r="M64" s="114" t="str">
        <f t="shared" si="7"/>
        <v>No input</v>
      </c>
      <c r="N64" s="153"/>
      <c r="O64" s="153"/>
      <c r="P64" s="58"/>
      <c r="Q64" s="58"/>
      <c r="R64" s="58"/>
    </row>
    <row r="65" spans="1:18" x14ac:dyDescent="0.25">
      <c r="A65" s="113">
        <f t="shared" si="4"/>
        <v>0</v>
      </c>
      <c r="B65" s="109"/>
      <c r="C65" s="149"/>
      <c r="D65" s="109"/>
      <c r="E65" s="109"/>
      <c r="F65" s="114" t="str">
        <f t="shared" si="5"/>
        <v>No input</v>
      </c>
      <c r="G65" s="109"/>
      <c r="H65" s="149"/>
      <c r="I65" s="109"/>
      <c r="J65" s="109"/>
      <c r="K65" s="114" t="str">
        <f t="shared" si="6"/>
        <v>No input</v>
      </c>
      <c r="L65" s="109"/>
      <c r="M65" s="114" t="str">
        <f t="shared" si="7"/>
        <v>No input</v>
      </c>
      <c r="N65" s="153"/>
      <c r="O65" s="153"/>
      <c r="P65" s="58"/>
      <c r="Q65" s="58"/>
      <c r="R65" s="58"/>
    </row>
    <row r="66" spans="1:18" x14ac:dyDescent="0.25">
      <c r="A66" s="113">
        <f t="shared" si="4"/>
        <v>0</v>
      </c>
      <c r="B66" s="109"/>
      <c r="C66" s="149"/>
      <c r="D66" s="109"/>
      <c r="E66" s="109"/>
      <c r="F66" s="114" t="str">
        <f t="shared" si="5"/>
        <v>No input</v>
      </c>
      <c r="G66" s="109"/>
      <c r="H66" s="149"/>
      <c r="I66" s="109"/>
      <c r="J66" s="109"/>
      <c r="K66" s="114" t="str">
        <f t="shared" si="6"/>
        <v>No input</v>
      </c>
      <c r="L66" s="109"/>
      <c r="M66" s="114" t="str">
        <f t="shared" si="7"/>
        <v>No input</v>
      </c>
      <c r="N66" s="153"/>
      <c r="O66" s="153"/>
      <c r="P66" s="58"/>
      <c r="Q66" s="58"/>
      <c r="R66" s="58"/>
    </row>
    <row r="67" spans="1:18" x14ac:dyDescent="0.25">
      <c r="A67" s="113">
        <f t="shared" si="4"/>
        <v>0</v>
      </c>
      <c r="B67" s="109"/>
      <c r="C67" s="149"/>
      <c r="D67" s="109"/>
      <c r="E67" s="109"/>
      <c r="F67" s="114" t="str">
        <f t="shared" si="5"/>
        <v>No input</v>
      </c>
      <c r="G67" s="109"/>
      <c r="H67" s="149"/>
      <c r="I67" s="109"/>
      <c r="J67" s="109"/>
      <c r="K67" s="114" t="str">
        <f t="shared" si="6"/>
        <v>No input</v>
      </c>
      <c r="L67" s="109"/>
      <c r="M67" s="114" t="str">
        <f t="shared" si="7"/>
        <v>No input</v>
      </c>
      <c r="N67" s="153"/>
      <c r="O67" s="153"/>
      <c r="P67" s="58"/>
      <c r="Q67" s="58"/>
      <c r="R67" s="58"/>
    </row>
    <row r="68" spans="1:18" x14ac:dyDescent="0.25">
      <c r="A68" s="113">
        <f t="shared" si="4"/>
        <v>0</v>
      </c>
      <c r="B68" s="109"/>
      <c r="C68" s="149"/>
      <c r="D68" s="109"/>
      <c r="E68" s="109"/>
      <c r="F68" s="114" t="str">
        <f t="shared" si="5"/>
        <v>No input</v>
      </c>
      <c r="G68" s="109"/>
      <c r="H68" s="149"/>
      <c r="I68" s="109"/>
      <c r="J68" s="109"/>
      <c r="K68" s="114" t="str">
        <f t="shared" si="6"/>
        <v>No input</v>
      </c>
      <c r="L68" s="109"/>
      <c r="M68" s="114" t="str">
        <f t="shared" si="7"/>
        <v>No input</v>
      </c>
      <c r="N68" s="153"/>
      <c r="O68" s="153"/>
      <c r="P68" s="58"/>
      <c r="Q68" s="58"/>
      <c r="R68" s="58"/>
    </row>
    <row r="69" spans="1:18" x14ac:dyDescent="0.25">
      <c r="A69" s="113">
        <f t="shared" si="4"/>
        <v>0</v>
      </c>
      <c r="B69" s="109"/>
      <c r="C69" s="149"/>
      <c r="D69" s="109"/>
      <c r="E69" s="109"/>
      <c r="F69" s="114" t="str">
        <f t="shared" si="5"/>
        <v>No input</v>
      </c>
      <c r="G69" s="109"/>
      <c r="H69" s="149"/>
      <c r="I69" s="109"/>
      <c r="J69" s="109"/>
      <c r="K69" s="114" t="str">
        <f t="shared" si="6"/>
        <v>No input</v>
      </c>
      <c r="L69" s="109"/>
      <c r="M69" s="114" t="str">
        <f t="shared" si="7"/>
        <v>No input</v>
      </c>
      <c r="N69" s="153"/>
      <c r="O69" s="153"/>
      <c r="P69" s="58"/>
      <c r="Q69" s="58"/>
      <c r="R69" s="58"/>
    </row>
    <row r="70" spans="1:18" x14ac:dyDescent="0.25">
      <c r="A70" s="113">
        <f t="shared" si="4"/>
        <v>0</v>
      </c>
      <c r="B70" s="109"/>
      <c r="C70" s="149"/>
      <c r="D70" s="109"/>
      <c r="E70" s="109"/>
      <c r="F70" s="114" t="str">
        <f t="shared" si="5"/>
        <v>No input</v>
      </c>
      <c r="G70" s="109"/>
      <c r="H70" s="149"/>
      <c r="I70" s="109"/>
      <c r="J70" s="109"/>
      <c r="K70" s="114" t="str">
        <f t="shared" si="6"/>
        <v>No input</v>
      </c>
      <c r="L70" s="109"/>
      <c r="M70" s="114" t="str">
        <f t="shared" si="7"/>
        <v>No input</v>
      </c>
      <c r="N70" s="153"/>
      <c r="O70" s="153"/>
      <c r="P70" s="58"/>
      <c r="Q70" s="58"/>
      <c r="R70" s="58"/>
    </row>
    <row r="71" spans="1:18" x14ac:dyDescent="0.25">
      <c r="A71" s="113">
        <f t="shared" si="4"/>
        <v>0</v>
      </c>
      <c r="B71" s="109"/>
      <c r="C71" s="149"/>
      <c r="D71" s="109"/>
      <c r="E71" s="109"/>
      <c r="F71" s="114" t="str">
        <f t="shared" si="5"/>
        <v>No input</v>
      </c>
      <c r="G71" s="109"/>
      <c r="H71" s="149"/>
      <c r="I71" s="109"/>
      <c r="J71" s="109"/>
      <c r="K71" s="114" t="str">
        <f t="shared" si="6"/>
        <v>No input</v>
      </c>
      <c r="L71" s="109"/>
      <c r="M71" s="114" t="str">
        <f t="shared" si="7"/>
        <v>No input</v>
      </c>
      <c r="N71" s="153"/>
      <c r="O71" s="153"/>
      <c r="P71" s="58"/>
      <c r="Q71" s="58"/>
      <c r="R71" s="58"/>
    </row>
    <row r="72" spans="1:18" ht="15" x14ac:dyDescent="0.4">
      <c r="A72" s="122" t="s">
        <v>203</v>
      </c>
      <c r="B72" s="118"/>
      <c r="C72" s="116"/>
      <c r="D72" s="108"/>
      <c r="E72" s="118"/>
      <c r="F72" s="116"/>
      <c r="G72" s="116"/>
      <c r="H72" s="116"/>
      <c r="I72" s="117"/>
      <c r="J72" s="116"/>
      <c r="K72" s="117"/>
      <c r="L72" s="116"/>
      <c r="M72" s="116"/>
      <c r="N72" s="116"/>
      <c r="O72" s="116"/>
      <c r="P72" s="116"/>
      <c r="Q72" s="116"/>
      <c r="R72" s="58"/>
    </row>
    <row r="73" spans="1:18" ht="16" x14ac:dyDescent="0.4">
      <c r="A73" s="122" t="s">
        <v>204</v>
      </c>
      <c r="B73" s="118"/>
      <c r="C73" s="116"/>
      <c r="D73" s="108"/>
      <c r="E73" s="118"/>
      <c r="F73" s="116"/>
      <c r="G73" s="116"/>
      <c r="H73" s="116"/>
      <c r="I73" s="117"/>
      <c r="J73" s="116"/>
      <c r="K73" s="117"/>
      <c r="L73" s="116"/>
      <c r="M73" s="116"/>
      <c r="N73" s="116"/>
      <c r="O73" s="116"/>
      <c r="P73" s="116"/>
      <c r="Q73" s="116"/>
      <c r="R73" s="58"/>
    </row>
    <row r="74" spans="1:18" x14ac:dyDescent="0.25">
      <c r="A74" s="58"/>
      <c r="B74" s="116"/>
      <c r="C74" s="116"/>
      <c r="D74" s="116"/>
      <c r="E74" s="117"/>
      <c r="F74" s="116"/>
      <c r="G74" s="116"/>
      <c r="H74" s="116"/>
      <c r="I74" s="117"/>
      <c r="J74" s="116"/>
      <c r="K74" s="117"/>
      <c r="L74" s="116"/>
      <c r="M74" s="116"/>
      <c r="N74" s="116"/>
      <c r="O74" s="116"/>
      <c r="P74" s="116"/>
      <c r="Q74" s="116"/>
      <c r="R74" s="58"/>
    </row>
    <row r="75" spans="1:18" ht="12.75" customHeight="1" x14ac:dyDescent="0.3">
      <c r="A75" s="183" t="s">
        <v>33</v>
      </c>
      <c r="B75" s="215" t="s">
        <v>184</v>
      </c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7"/>
      <c r="R75" s="211" t="s">
        <v>179</v>
      </c>
    </row>
    <row r="76" spans="1:18" ht="15" customHeight="1" x14ac:dyDescent="0.3">
      <c r="A76" s="184"/>
      <c r="B76" s="161" t="s">
        <v>75</v>
      </c>
      <c r="C76" s="218" t="s">
        <v>205</v>
      </c>
      <c r="D76" s="219"/>
      <c r="E76" s="219"/>
      <c r="F76" s="219"/>
      <c r="G76" s="220"/>
      <c r="H76" s="161" t="s">
        <v>81</v>
      </c>
      <c r="I76" s="161" t="s">
        <v>155</v>
      </c>
      <c r="J76" s="215" t="s">
        <v>9</v>
      </c>
      <c r="K76" s="216"/>
      <c r="L76" s="216"/>
      <c r="M76" s="217"/>
      <c r="N76" s="215" t="s">
        <v>10</v>
      </c>
      <c r="O76" s="216"/>
      <c r="P76" s="216"/>
      <c r="Q76" s="217"/>
      <c r="R76" s="211"/>
    </row>
    <row r="77" spans="1:18" ht="64" x14ac:dyDescent="0.4">
      <c r="A77" s="185"/>
      <c r="B77" s="162"/>
      <c r="C77" s="123" t="s">
        <v>126</v>
      </c>
      <c r="D77" s="124" t="s">
        <v>76</v>
      </c>
      <c r="E77" s="124" t="s">
        <v>77</v>
      </c>
      <c r="F77" s="124" t="s">
        <v>78</v>
      </c>
      <c r="G77" s="124" t="s">
        <v>103</v>
      </c>
      <c r="H77" s="162"/>
      <c r="I77" s="162"/>
      <c r="J77" s="119" t="s">
        <v>158</v>
      </c>
      <c r="K77" s="119" t="s">
        <v>140</v>
      </c>
      <c r="L77" s="119" t="s">
        <v>206</v>
      </c>
      <c r="M77" s="119" t="s">
        <v>207</v>
      </c>
      <c r="N77" s="119" t="s">
        <v>208</v>
      </c>
      <c r="O77" s="119" t="s">
        <v>209</v>
      </c>
      <c r="P77" s="119" t="s">
        <v>210</v>
      </c>
      <c r="Q77" s="124" t="s">
        <v>211</v>
      </c>
      <c r="R77" s="211"/>
    </row>
    <row r="78" spans="1:18" x14ac:dyDescent="0.25">
      <c r="A78" s="130">
        <f>A32</f>
        <v>0</v>
      </c>
      <c r="B78" s="125"/>
      <c r="C78" s="126" t="s">
        <v>147</v>
      </c>
      <c r="D78" s="125"/>
      <c r="E78" s="125"/>
      <c r="F78" s="125"/>
      <c r="G78" s="125"/>
      <c r="H78" s="125"/>
      <c r="I78" s="125"/>
      <c r="J78" s="125"/>
      <c r="K78" s="125"/>
      <c r="L78" s="125"/>
      <c r="M78" s="127" t="str">
        <f t="shared" ref="M78:M87" si="8">IF(L78=0,"No input",IF(L78&gt;=J32,"YES","NO"))</f>
        <v>No input</v>
      </c>
      <c r="N78" s="125"/>
      <c r="O78" s="125"/>
      <c r="P78" s="125"/>
      <c r="Q78" s="127" t="str">
        <f>IF(P78=0,"No input",IF(P78&gt;=J32,"YES","NO"))</f>
        <v>No input</v>
      </c>
      <c r="R78" s="145"/>
    </row>
    <row r="79" spans="1:18" x14ac:dyDescent="0.25">
      <c r="A79" s="130">
        <f t="shared" ref="A79:A87" si="9">A33</f>
        <v>0</v>
      </c>
      <c r="B79" s="125"/>
      <c r="C79" s="126" t="s">
        <v>147</v>
      </c>
      <c r="D79" s="125"/>
      <c r="E79" s="125"/>
      <c r="F79" s="125"/>
      <c r="G79" s="125"/>
      <c r="H79" s="125"/>
      <c r="I79" s="125"/>
      <c r="J79" s="125"/>
      <c r="K79" s="125"/>
      <c r="L79" s="125"/>
      <c r="M79" s="127" t="str">
        <f t="shared" si="8"/>
        <v>No input</v>
      </c>
      <c r="N79" s="125"/>
      <c r="O79" s="125"/>
      <c r="P79" s="125"/>
      <c r="Q79" s="127" t="str">
        <f t="shared" ref="Q79:Q87" si="10">IF(P79=0,"No input",IF(P79&gt;=J33,"YES","NO"))</f>
        <v>No input</v>
      </c>
      <c r="R79" s="145"/>
    </row>
    <row r="80" spans="1:18" x14ac:dyDescent="0.25">
      <c r="A80" s="130">
        <f t="shared" si="9"/>
        <v>0</v>
      </c>
      <c r="B80" s="125"/>
      <c r="C80" s="126" t="s">
        <v>147</v>
      </c>
      <c r="D80" s="125"/>
      <c r="E80" s="125"/>
      <c r="F80" s="125"/>
      <c r="G80" s="125"/>
      <c r="H80" s="125"/>
      <c r="I80" s="125"/>
      <c r="J80" s="125"/>
      <c r="K80" s="125"/>
      <c r="L80" s="125"/>
      <c r="M80" s="127" t="str">
        <f t="shared" si="8"/>
        <v>No input</v>
      </c>
      <c r="N80" s="125"/>
      <c r="O80" s="125"/>
      <c r="P80" s="125"/>
      <c r="Q80" s="127" t="str">
        <f t="shared" si="10"/>
        <v>No input</v>
      </c>
      <c r="R80" s="145"/>
    </row>
    <row r="81" spans="1:18" x14ac:dyDescent="0.25">
      <c r="A81" s="130">
        <f t="shared" si="9"/>
        <v>0</v>
      </c>
      <c r="B81" s="125"/>
      <c r="C81" s="126" t="s">
        <v>147</v>
      </c>
      <c r="D81" s="125"/>
      <c r="E81" s="125"/>
      <c r="F81" s="125"/>
      <c r="G81" s="125"/>
      <c r="H81" s="125"/>
      <c r="I81" s="125"/>
      <c r="J81" s="125"/>
      <c r="K81" s="125"/>
      <c r="L81" s="125"/>
      <c r="M81" s="127" t="str">
        <f t="shared" si="8"/>
        <v>No input</v>
      </c>
      <c r="N81" s="125"/>
      <c r="O81" s="125"/>
      <c r="P81" s="125"/>
      <c r="Q81" s="127" t="str">
        <f t="shared" si="10"/>
        <v>No input</v>
      </c>
      <c r="R81" s="145"/>
    </row>
    <row r="82" spans="1:18" x14ac:dyDescent="0.25">
      <c r="A82" s="130">
        <f t="shared" si="9"/>
        <v>0</v>
      </c>
      <c r="B82" s="125"/>
      <c r="C82" s="126" t="s">
        <v>147</v>
      </c>
      <c r="D82" s="125"/>
      <c r="E82" s="125"/>
      <c r="F82" s="125"/>
      <c r="G82" s="125"/>
      <c r="H82" s="125"/>
      <c r="I82" s="125"/>
      <c r="J82" s="125"/>
      <c r="K82" s="125"/>
      <c r="L82" s="125"/>
      <c r="M82" s="127" t="str">
        <f t="shared" si="8"/>
        <v>No input</v>
      </c>
      <c r="N82" s="125"/>
      <c r="O82" s="125"/>
      <c r="P82" s="125"/>
      <c r="Q82" s="127" t="str">
        <f t="shared" si="10"/>
        <v>No input</v>
      </c>
      <c r="R82" s="145"/>
    </row>
    <row r="83" spans="1:18" x14ac:dyDescent="0.25">
      <c r="A83" s="130">
        <f t="shared" si="9"/>
        <v>0</v>
      </c>
      <c r="B83" s="125"/>
      <c r="C83" s="126" t="s">
        <v>147</v>
      </c>
      <c r="D83" s="125"/>
      <c r="E83" s="125"/>
      <c r="F83" s="125"/>
      <c r="G83" s="125"/>
      <c r="H83" s="125"/>
      <c r="I83" s="125"/>
      <c r="J83" s="125"/>
      <c r="K83" s="125"/>
      <c r="L83" s="125"/>
      <c r="M83" s="127" t="str">
        <f t="shared" si="8"/>
        <v>No input</v>
      </c>
      <c r="N83" s="125"/>
      <c r="O83" s="125"/>
      <c r="P83" s="125"/>
      <c r="Q83" s="127" t="str">
        <f t="shared" si="10"/>
        <v>No input</v>
      </c>
      <c r="R83" s="145"/>
    </row>
    <row r="84" spans="1:18" x14ac:dyDescent="0.25">
      <c r="A84" s="130">
        <f t="shared" si="9"/>
        <v>0</v>
      </c>
      <c r="B84" s="125"/>
      <c r="C84" s="126" t="s">
        <v>147</v>
      </c>
      <c r="D84" s="125"/>
      <c r="E84" s="125"/>
      <c r="F84" s="125"/>
      <c r="G84" s="125"/>
      <c r="H84" s="125"/>
      <c r="I84" s="125"/>
      <c r="J84" s="125"/>
      <c r="K84" s="125"/>
      <c r="L84" s="125"/>
      <c r="M84" s="127" t="str">
        <f t="shared" si="8"/>
        <v>No input</v>
      </c>
      <c r="N84" s="125"/>
      <c r="O84" s="125"/>
      <c r="P84" s="125"/>
      <c r="Q84" s="127" t="str">
        <f t="shared" si="10"/>
        <v>No input</v>
      </c>
      <c r="R84" s="145"/>
    </row>
    <row r="85" spans="1:18" x14ac:dyDescent="0.25">
      <c r="A85" s="130">
        <f t="shared" si="9"/>
        <v>0</v>
      </c>
      <c r="B85" s="125"/>
      <c r="C85" s="126" t="s">
        <v>147</v>
      </c>
      <c r="D85" s="125"/>
      <c r="E85" s="125"/>
      <c r="F85" s="125"/>
      <c r="G85" s="125"/>
      <c r="H85" s="125"/>
      <c r="I85" s="125"/>
      <c r="J85" s="125"/>
      <c r="K85" s="125"/>
      <c r="L85" s="125"/>
      <c r="M85" s="127" t="str">
        <f t="shared" si="8"/>
        <v>No input</v>
      </c>
      <c r="N85" s="125"/>
      <c r="O85" s="125"/>
      <c r="P85" s="125"/>
      <c r="Q85" s="127" t="str">
        <f t="shared" si="10"/>
        <v>No input</v>
      </c>
      <c r="R85" s="145"/>
    </row>
    <row r="86" spans="1:18" ht="14.25" customHeight="1" x14ac:dyDescent="0.25">
      <c r="A86" s="130">
        <f t="shared" si="9"/>
        <v>0</v>
      </c>
      <c r="B86" s="125"/>
      <c r="C86" s="126" t="s">
        <v>147</v>
      </c>
      <c r="D86" s="125"/>
      <c r="E86" s="125"/>
      <c r="F86" s="125"/>
      <c r="G86" s="125"/>
      <c r="H86" s="125"/>
      <c r="I86" s="125"/>
      <c r="J86" s="125"/>
      <c r="K86" s="125"/>
      <c r="L86" s="125"/>
      <c r="M86" s="127" t="str">
        <f t="shared" si="8"/>
        <v>No input</v>
      </c>
      <c r="N86" s="125"/>
      <c r="O86" s="125"/>
      <c r="P86" s="125"/>
      <c r="Q86" s="127" t="str">
        <f t="shared" si="10"/>
        <v>No input</v>
      </c>
      <c r="R86" s="146"/>
    </row>
    <row r="87" spans="1:18" ht="13" x14ac:dyDescent="0.25">
      <c r="A87" s="130">
        <f t="shared" si="9"/>
        <v>0</v>
      </c>
      <c r="B87" s="125"/>
      <c r="C87" s="126" t="s">
        <v>147</v>
      </c>
      <c r="D87" s="125"/>
      <c r="E87" s="125"/>
      <c r="F87" s="125"/>
      <c r="G87" s="125"/>
      <c r="H87" s="125"/>
      <c r="I87" s="125"/>
      <c r="J87" s="125"/>
      <c r="K87" s="125"/>
      <c r="L87" s="125"/>
      <c r="M87" s="127" t="str">
        <f t="shared" si="8"/>
        <v>No input</v>
      </c>
      <c r="N87" s="125"/>
      <c r="O87" s="125"/>
      <c r="P87" s="125"/>
      <c r="Q87" s="127" t="str">
        <f t="shared" si="10"/>
        <v>No input</v>
      </c>
      <c r="R87" s="146"/>
    </row>
    <row r="88" spans="1:18" ht="16" x14ac:dyDescent="0.4">
      <c r="A88" s="129"/>
      <c r="B88" s="128"/>
      <c r="C88" s="128"/>
      <c r="D88" s="128"/>
      <c r="E88" s="128"/>
      <c r="F88" s="128"/>
      <c r="G88" s="128"/>
      <c r="H88" s="129"/>
      <c r="I88" s="129"/>
      <c r="J88" s="129"/>
      <c r="K88" s="129"/>
      <c r="L88" s="129"/>
      <c r="M88" s="120" t="s">
        <v>190</v>
      </c>
      <c r="N88" s="129"/>
      <c r="O88" s="129"/>
      <c r="P88" s="129"/>
      <c r="Q88" s="129"/>
      <c r="R88" s="129"/>
    </row>
    <row r="89" spans="1:18" x14ac:dyDescent="0.25">
      <c r="A89" s="129"/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1:18" ht="13" x14ac:dyDescent="0.3">
      <c r="A90" s="131" t="s">
        <v>186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1:18" ht="13" x14ac:dyDescent="0.3">
      <c r="A91" s="131"/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1:18" ht="13" x14ac:dyDescent="0.3">
      <c r="A92" s="132" t="s">
        <v>182</v>
      </c>
      <c r="B92" s="132"/>
      <c r="C92" s="208" t="s">
        <v>147</v>
      </c>
      <c r="D92" s="208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1:18" ht="12.75" customHeight="1" x14ac:dyDescent="0.25">
      <c r="A93" s="183" t="s">
        <v>33</v>
      </c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83" t="s">
        <v>212</v>
      </c>
      <c r="P93" s="166" t="s">
        <v>213</v>
      </c>
      <c r="Q93" s="209" t="s">
        <v>179</v>
      </c>
      <c r="R93" s="209"/>
    </row>
    <row r="94" spans="1:18" x14ac:dyDescent="0.25">
      <c r="A94" s="184"/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84"/>
      <c r="P94" s="166"/>
      <c r="Q94" s="209"/>
      <c r="R94" s="209"/>
    </row>
    <row r="95" spans="1:18" ht="17.25" customHeight="1" x14ac:dyDescent="0.25">
      <c r="A95" s="185"/>
      <c r="B95" s="176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85"/>
      <c r="P95" s="166"/>
      <c r="Q95" s="209"/>
      <c r="R95" s="209"/>
    </row>
    <row r="96" spans="1:18" x14ac:dyDescent="0.25">
      <c r="A96" s="130">
        <f>A32</f>
        <v>0</v>
      </c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25"/>
      <c r="P96" s="127" t="str">
        <f t="shared" ref="P96:P105" si="11">IF(O96=0,"No input",IF(O96&gt;=J32,"YES","NO"))</f>
        <v>No input</v>
      </c>
      <c r="Q96" s="214"/>
      <c r="R96" s="214"/>
    </row>
    <row r="97" spans="1:18" x14ac:dyDescent="0.25">
      <c r="A97" s="130">
        <f t="shared" ref="A97:A105" si="12">A33</f>
        <v>0</v>
      </c>
      <c r="B97" s="133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25"/>
      <c r="P97" s="127" t="str">
        <f t="shared" si="11"/>
        <v>No input</v>
      </c>
      <c r="Q97" s="214"/>
      <c r="R97" s="214"/>
    </row>
    <row r="98" spans="1:18" x14ac:dyDescent="0.25">
      <c r="A98" s="130">
        <f t="shared" si="12"/>
        <v>0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25"/>
      <c r="P98" s="127" t="str">
        <f t="shared" si="11"/>
        <v>No input</v>
      </c>
      <c r="Q98" s="214"/>
      <c r="R98" s="214"/>
    </row>
    <row r="99" spans="1:18" x14ac:dyDescent="0.25">
      <c r="A99" s="130">
        <f t="shared" si="12"/>
        <v>0</v>
      </c>
      <c r="B99" s="133"/>
      <c r="C99" s="133"/>
      <c r="D99" s="133"/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25"/>
      <c r="P99" s="127" t="str">
        <f t="shared" si="11"/>
        <v>No input</v>
      </c>
      <c r="Q99" s="214"/>
      <c r="R99" s="214"/>
    </row>
    <row r="100" spans="1:18" x14ac:dyDescent="0.25">
      <c r="A100" s="130">
        <f t="shared" si="12"/>
        <v>0</v>
      </c>
      <c r="B100" s="133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25"/>
      <c r="P100" s="127" t="str">
        <f t="shared" si="11"/>
        <v>No input</v>
      </c>
      <c r="Q100" s="214"/>
      <c r="R100" s="214"/>
    </row>
    <row r="101" spans="1:18" x14ac:dyDescent="0.25">
      <c r="A101" s="130">
        <f t="shared" si="12"/>
        <v>0</v>
      </c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25"/>
      <c r="P101" s="127" t="str">
        <f t="shared" si="11"/>
        <v>No input</v>
      </c>
      <c r="Q101" s="214"/>
      <c r="R101" s="214"/>
    </row>
    <row r="102" spans="1:18" x14ac:dyDescent="0.25">
      <c r="A102" s="130">
        <f t="shared" si="12"/>
        <v>0</v>
      </c>
      <c r="B102" s="133"/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25"/>
      <c r="P102" s="127" t="str">
        <f t="shared" si="11"/>
        <v>No input</v>
      </c>
      <c r="Q102" s="214"/>
      <c r="R102" s="214"/>
    </row>
    <row r="103" spans="1:18" x14ac:dyDescent="0.25">
      <c r="A103" s="130">
        <f t="shared" si="12"/>
        <v>0</v>
      </c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25"/>
      <c r="P103" s="127" t="str">
        <f t="shared" si="11"/>
        <v>No input</v>
      </c>
      <c r="Q103" s="214"/>
      <c r="R103" s="214"/>
    </row>
    <row r="104" spans="1:18" x14ac:dyDescent="0.25">
      <c r="A104" s="130">
        <f t="shared" si="12"/>
        <v>0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25"/>
      <c r="P104" s="127" t="str">
        <f t="shared" si="11"/>
        <v>No input</v>
      </c>
      <c r="Q104" s="214"/>
      <c r="R104" s="214"/>
    </row>
    <row r="105" spans="1:18" x14ac:dyDescent="0.25">
      <c r="A105" s="130">
        <f t="shared" si="12"/>
        <v>0</v>
      </c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25"/>
      <c r="P105" s="127" t="str">
        <f t="shared" si="11"/>
        <v>No input</v>
      </c>
      <c r="Q105" s="214"/>
      <c r="R105" s="214"/>
    </row>
    <row r="106" spans="1:18" ht="16" x14ac:dyDescent="0.4">
      <c r="A106" s="129" t="s">
        <v>183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0" t="s">
        <v>190</v>
      </c>
      <c r="Q106" s="129"/>
      <c r="R106" s="129"/>
    </row>
    <row r="107" spans="1:18" x14ac:dyDescent="0.2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</sheetData>
  <sheetProtection algorithmName="SHA-512" hashValue="K00qdvh7Np3EYSHHAoiaVRe6C/MAw3EAeefgw2/nV8r9EUyDlgeyuOTO5cY9DfizeV3WuQZzSrvrrYIea/jrHQ==" saltValue="ly3WAWM95jc2RYFbybzX/g==" spinCount="100000" sheet="1" objects="1" scenarios="1"/>
  <mergeCells count="111">
    <mergeCell ref="N69:O69"/>
    <mergeCell ref="N70:O70"/>
    <mergeCell ref="N59:O61"/>
    <mergeCell ref="N62:O62"/>
    <mergeCell ref="N63:O63"/>
    <mergeCell ref="Q7:R7"/>
    <mergeCell ref="Q8:R8"/>
    <mergeCell ref="Q105:R105"/>
    <mergeCell ref="B75:Q75"/>
    <mergeCell ref="C76:G76"/>
    <mergeCell ref="J76:M76"/>
    <mergeCell ref="N76:Q76"/>
    <mergeCell ref="R75:R77"/>
    <mergeCell ref="Q100:R100"/>
    <mergeCell ref="Q101:R101"/>
    <mergeCell ref="Q102:R102"/>
    <mergeCell ref="Q103:R103"/>
    <mergeCell ref="Q104:R104"/>
    <mergeCell ref="Q93:R95"/>
    <mergeCell ref="Q96:R96"/>
    <mergeCell ref="Q97:R97"/>
    <mergeCell ref="Q98:R98"/>
    <mergeCell ref="Q99:R99"/>
    <mergeCell ref="B93:B95"/>
    <mergeCell ref="C93:C95"/>
    <mergeCell ref="D93:D95"/>
    <mergeCell ref="E93:E95"/>
    <mergeCell ref="C92:D92"/>
    <mergeCell ref="N93:N95"/>
    <mergeCell ref="O93:O95"/>
    <mergeCell ref="Q38:R38"/>
    <mergeCell ref="Q39:R39"/>
    <mergeCell ref="Q40:R40"/>
    <mergeCell ref="Q41:R41"/>
    <mergeCell ref="N71:O71"/>
    <mergeCell ref="O44:P46"/>
    <mergeCell ref="O47:P47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B44:N45"/>
    <mergeCell ref="B60:F60"/>
    <mergeCell ref="A1:P1"/>
    <mergeCell ref="B9:K13"/>
    <mergeCell ref="M8:O14"/>
    <mergeCell ref="A29:A31"/>
    <mergeCell ref="B15:G15"/>
    <mergeCell ref="D3:J3"/>
    <mergeCell ref="D4:J4"/>
    <mergeCell ref="D5:J5"/>
    <mergeCell ref="N3:O3"/>
    <mergeCell ref="N4:P4"/>
    <mergeCell ref="N5:P5"/>
    <mergeCell ref="B3:C3"/>
    <mergeCell ref="B4:C4"/>
    <mergeCell ref="B6:C6"/>
    <mergeCell ref="K5:M5"/>
    <mergeCell ref="K4:M4"/>
    <mergeCell ref="K3:M3"/>
    <mergeCell ref="B76:B77"/>
    <mergeCell ref="A44:A46"/>
    <mergeCell ref="P93:P95"/>
    <mergeCell ref="B17:G17"/>
    <mergeCell ref="B16:G16"/>
    <mergeCell ref="B29:G30"/>
    <mergeCell ref="K93:K95"/>
    <mergeCell ref="L93:L95"/>
    <mergeCell ref="M93:M95"/>
    <mergeCell ref="H76:H77"/>
    <mergeCell ref="I76:I77"/>
    <mergeCell ref="F93:F95"/>
    <mergeCell ref="G93:G95"/>
    <mergeCell ref="H29:L30"/>
    <mergeCell ref="H93:H95"/>
    <mergeCell ref="I93:I95"/>
    <mergeCell ref="J93:J95"/>
    <mergeCell ref="A93:A95"/>
    <mergeCell ref="N64:O64"/>
    <mergeCell ref="N65:O65"/>
    <mergeCell ref="M27:N27"/>
    <mergeCell ref="M29:P30"/>
    <mergeCell ref="A59:A61"/>
    <mergeCell ref="A75:A77"/>
    <mergeCell ref="G60:M60"/>
    <mergeCell ref="B59:M59"/>
    <mergeCell ref="N66:O66"/>
    <mergeCell ref="N67:O67"/>
    <mergeCell ref="N68:O68"/>
    <mergeCell ref="Q29:R31"/>
    <mergeCell ref="Q32:R32"/>
    <mergeCell ref="M7:O7"/>
    <mergeCell ref="N15:O15"/>
    <mergeCell ref="N16:O16"/>
    <mergeCell ref="B8:E8"/>
    <mergeCell ref="C26:R26"/>
    <mergeCell ref="B19:K19"/>
    <mergeCell ref="B18:K18"/>
    <mergeCell ref="C24:R24"/>
    <mergeCell ref="C25:R25"/>
    <mergeCell ref="C27:L27"/>
    <mergeCell ref="Q33:R33"/>
    <mergeCell ref="Q34:R34"/>
    <mergeCell ref="Q35:R35"/>
    <mergeCell ref="Q36:R36"/>
    <mergeCell ref="Q37:R37"/>
  </mergeCells>
  <phoneticPr fontId="22" type="noConversion"/>
  <conditionalFormatting sqref="F62:F71">
    <cfRule type="cellIs" dxfId="55" priority="84" operator="equal">
      <formula>"NO"</formula>
    </cfRule>
  </conditionalFormatting>
  <conditionalFormatting sqref="G47:G56 I72:I74 E74">
    <cfRule type="cellIs" dxfId="54" priority="87" operator="equal">
      <formula>"NO"</formula>
    </cfRule>
  </conditionalFormatting>
  <conditionalFormatting sqref="K62:K74">
    <cfRule type="cellIs" dxfId="53" priority="80" operator="equal">
      <formula>"NO"</formula>
    </cfRule>
  </conditionalFormatting>
  <conditionalFormatting sqref="M62:M71">
    <cfRule type="cellIs" dxfId="52" priority="79" operator="equal">
      <formula>"NO"</formula>
    </cfRule>
  </conditionalFormatting>
  <conditionalFormatting sqref="M78:M87">
    <cfRule type="cellIs" dxfId="51" priority="77" operator="equal">
      <formula>"NO"</formula>
    </cfRule>
  </conditionalFormatting>
  <conditionalFormatting sqref="N47:N56">
    <cfRule type="cellIs" dxfId="50" priority="85" operator="equal">
      <formula>"NO"</formula>
    </cfRule>
  </conditionalFormatting>
  <conditionalFormatting sqref="P96:P105">
    <cfRule type="cellIs" dxfId="49" priority="73" operator="equal">
      <formula>"NO"</formula>
    </cfRule>
  </conditionalFormatting>
  <conditionalFormatting sqref="Q78:Q87">
    <cfRule type="cellIs" dxfId="48" priority="75" operator="equal">
      <formula>"NO"</formula>
    </cfRule>
  </conditionalFormatting>
  <hyperlinks>
    <hyperlink ref="M27" r:id="rId1" display="Link to download." xr:uid="{F4D374C6-C92A-440D-BCB8-3F0BFAA95C50}"/>
  </hyperlinks>
  <pageMargins left="0.70866141732283472" right="0.70866141732283472" top="0.74803149606299213" bottom="0.74803149606299213" header="0.31496062992125984" footer="0.31496062992125984"/>
  <pageSetup paperSize="9" scale="42" fitToWidth="0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3B26B524-C299-46E0-B3E2-E3F3143C6D8A}">
          <x14:formula1>
            <xm:f>'For inputlist'!$A$2:$A$5</xm:f>
          </x14:formula1>
          <xm:sqref>C78:C87</xm:sqref>
        </x14:dataValidation>
        <x14:dataValidation type="list" allowBlank="1" showInputMessage="1" showErrorMessage="1" xr:uid="{84494CD9-A17B-42C0-B9F2-35726AC1817C}">
          <x14:formula1>
            <xm:f>'For inputlist'!$B$2:$B$4</xm:f>
          </x14:formula1>
          <xm:sqref>L18:L19</xm:sqref>
        </x14:dataValidation>
        <x14:dataValidation type="list" allowBlank="1" showInputMessage="1" showErrorMessage="1" xr:uid="{B51EA303-57E1-413E-B579-13459C322157}">
          <x14:formula1>
            <xm:f>'For inputlist'!$C$2:$C$5</xm:f>
          </x14:formula1>
          <xm:sqref>C92:D92</xm:sqref>
        </x14:dataValidation>
        <x14:dataValidation type="list" allowBlank="1" showInputMessage="1" showErrorMessage="1" xr:uid="{034A75D1-C1B0-441F-9415-B4BED78E2B4C}">
          <x14:formula1>
            <xm:f>'For inputlist'!$A$3:$A$5</xm:f>
          </x14:formula1>
          <xm:sqref>M72:M74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1497-CAD4-435A-835E-A24758206C5E}">
  <dimension ref="A1:T56"/>
  <sheetViews>
    <sheetView topLeftCell="F19" zoomScaleNormal="100" workbookViewId="0">
      <selection activeCell="P53" sqref="P53"/>
    </sheetView>
  </sheetViews>
  <sheetFormatPr defaultColWidth="9.1796875" defaultRowHeight="15.5" x14ac:dyDescent="0.35"/>
  <cols>
    <col min="1" max="2" width="9.1796875" style="1"/>
    <col min="3" max="3" width="12.1796875" style="1" bestFit="1" customWidth="1"/>
    <col min="4" max="4" width="9" style="1" bestFit="1" customWidth="1"/>
    <col min="5" max="5" width="13.81640625" style="1" bestFit="1" customWidth="1"/>
    <col min="6" max="6" width="9" style="1" bestFit="1" customWidth="1"/>
    <col min="7" max="16" width="9.1796875" style="1"/>
    <col min="17" max="17" width="10.81640625" style="1" bestFit="1" customWidth="1"/>
    <col min="18" max="25" width="9.1796875" style="1"/>
    <col min="26" max="26" width="9.1796875" style="1" customWidth="1"/>
    <col min="27" max="30" width="9.1796875" style="1"/>
    <col min="31" max="31" width="9" style="1" customWidth="1"/>
    <col min="32" max="54" width="9.1796875" style="1"/>
    <col min="55" max="55" width="19.453125" style="1" bestFit="1" customWidth="1"/>
    <col min="56" max="16384" width="9.1796875" style="1"/>
  </cols>
  <sheetData>
    <row r="1" spans="1:19" x14ac:dyDescent="0.35">
      <c r="A1" s="81"/>
      <c r="B1" s="221" t="s">
        <v>39</v>
      </c>
      <c r="C1" s="221"/>
      <c r="D1" s="221"/>
      <c r="E1" s="221"/>
      <c r="F1" s="221"/>
      <c r="G1" s="221"/>
      <c r="H1" s="221"/>
      <c r="I1" s="221" t="s">
        <v>48</v>
      </c>
      <c r="J1" s="221"/>
      <c r="K1" s="221"/>
      <c r="L1" s="221"/>
      <c r="M1" s="221"/>
      <c r="N1" s="221"/>
      <c r="O1" s="82"/>
      <c r="P1" s="83"/>
    </row>
    <row r="2" spans="1:19" s="30" customFormat="1" ht="81.5" x14ac:dyDescent="0.35">
      <c r="A2" s="32" t="s">
        <v>33</v>
      </c>
      <c r="B2" s="34" t="s">
        <v>34</v>
      </c>
      <c r="C2" s="34" t="s">
        <v>36</v>
      </c>
      <c r="D2" s="34" t="s">
        <v>35</v>
      </c>
      <c r="E2" s="34" t="s">
        <v>37</v>
      </c>
      <c r="F2" s="34" t="s">
        <v>41</v>
      </c>
      <c r="G2" s="34" t="s">
        <v>42</v>
      </c>
      <c r="H2" s="34" t="s">
        <v>38</v>
      </c>
      <c r="I2" s="33" t="s">
        <v>43</v>
      </c>
      <c r="J2" s="34" t="s">
        <v>40</v>
      </c>
      <c r="K2" s="34" t="s">
        <v>44</v>
      </c>
      <c r="L2" s="33" t="s">
        <v>46</v>
      </c>
      <c r="M2" s="34" t="s">
        <v>45</v>
      </c>
      <c r="N2" s="33" t="s">
        <v>47</v>
      </c>
    </row>
    <row r="3" spans="1:19" x14ac:dyDescent="0.35">
      <c r="A3" s="31">
        <f>VS_inputs!A32</f>
        <v>0</v>
      </c>
      <c r="B3" s="29">
        <f>VS_inputs!B32</f>
        <v>0</v>
      </c>
      <c r="C3" s="29">
        <f>VS_inputs!C32</f>
        <v>0</v>
      </c>
      <c r="D3" s="29">
        <f>VS_inputs!D32</f>
        <v>0</v>
      </c>
      <c r="E3" s="29">
        <f>VS_inputs!E32</f>
        <v>0</v>
      </c>
      <c r="F3" s="31">
        <f>SUM(D3,B3)</f>
        <v>0</v>
      </c>
      <c r="G3" s="31">
        <f>F3/10000</f>
        <v>0</v>
      </c>
      <c r="H3" s="41" t="e">
        <f t="shared" ref="H3:H12" si="0">(B3*C3+D3*E3)/F3</f>
        <v>#DIV/0!</v>
      </c>
      <c r="I3" s="31">
        <f t="shared" ref="I3:I12" si="1">IF(G3&lt;2,5,IF(G3&lt;6,10,15))</f>
        <v>5</v>
      </c>
      <c r="J3" s="52">
        <v>0</v>
      </c>
      <c r="K3" s="31">
        <f t="shared" ref="K3:K12" si="2">8913/($I$3+36)*(100+J3)/100</f>
        <v>217.39024390243901</v>
      </c>
      <c r="L3" s="41" t="e">
        <f t="shared" ref="L3:L12" si="3">G3*H3*K3/360</f>
        <v>#DIV/0!</v>
      </c>
      <c r="M3" s="31">
        <f>12470/(I3+36)*(100)/100</f>
        <v>304.14634146341461</v>
      </c>
      <c r="N3" s="41" t="e">
        <f t="shared" ref="N3:N12" si="4">G3*H3*M3/360</f>
        <v>#DIV/0!</v>
      </c>
    </row>
    <row r="4" spans="1:19" x14ac:dyDescent="0.35">
      <c r="A4" s="31">
        <f>VS_inputs!A33</f>
        <v>0</v>
      </c>
      <c r="B4" s="29">
        <f>VS_inputs!B33</f>
        <v>0</v>
      </c>
      <c r="C4" s="29">
        <f>VS_inputs!C33</f>
        <v>0</v>
      </c>
      <c r="D4" s="29">
        <f>VS_inputs!D33</f>
        <v>0</v>
      </c>
      <c r="E4" s="29">
        <f>VS_inputs!E33</f>
        <v>0</v>
      </c>
      <c r="F4" s="31">
        <f>SUM(D4,B4)</f>
        <v>0</v>
      </c>
      <c r="G4" s="31">
        <f>F4/10000</f>
        <v>0</v>
      </c>
      <c r="H4" s="41" t="e">
        <f t="shared" si="0"/>
        <v>#DIV/0!</v>
      </c>
      <c r="I4" s="31">
        <f t="shared" si="1"/>
        <v>5</v>
      </c>
      <c r="J4" s="52">
        <v>0</v>
      </c>
      <c r="K4" s="31">
        <f t="shared" si="2"/>
        <v>217.39024390243901</v>
      </c>
      <c r="L4" s="41" t="e">
        <f t="shared" si="3"/>
        <v>#DIV/0!</v>
      </c>
      <c r="M4" s="31">
        <f>12470/(I4+36)*(100)/100</f>
        <v>304.14634146341461</v>
      </c>
      <c r="N4" s="41" t="e">
        <f t="shared" si="4"/>
        <v>#DIV/0!</v>
      </c>
    </row>
    <row r="5" spans="1:19" x14ac:dyDescent="0.35">
      <c r="A5" s="31">
        <f>VS_inputs!A34</f>
        <v>0</v>
      </c>
      <c r="B5" s="29">
        <f>VS_inputs!B34</f>
        <v>0</v>
      </c>
      <c r="C5" s="29">
        <f>VS_inputs!C34</f>
        <v>0</v>
      </c>
      <c r="D5" s="29">
        <f>VS_inputs!D34</f>
        <v>0</v>
      </c>
      <c r="E5" s="29">
        <f>VS_inputs!E34</f>
        <v>0</v>
      </c>
      <c r="F5" s="31">
        <f t="shared" ref="F5:F12" si="5">SUM(D5,B5)</f>
        <v>0</v>
      </c>
      <c r="G5" s="31">
        <f t="shared" ref="G5:G12" si="6">F5/10000</f>
        <v>0</v>
      </c>
      <c r="H5" s="41" t="e">
        <f t="shared" si="0"/>
        <v>#DIV/0!</v>
      </c>
      <c r="I5" s="31">
        <f t="shared" si="1"/>
        <v>5</v>
      </c>
      <c r="J5" s="52">
        <v>0</v>
      </c>
      <c r="K5" s="31">
        <f t="shared" si="2"/>
        <v>217.39024390243901</v>
      </c>
      <c r="L5" s="41" t="e">
        <f t="shared" si="3"/>
        <v>#DIV/0!</v>
      </c>
      <c r="M5" s="31">
        <f t="shared" ref="M5:M12" si="7">12470/(I5+36)*(100)/100</f>
        <v>304.14634146341461</v>
      </c>
      <c r="N5" s="41" t="e">
        <f t="shared" si="4"/>
        <v>#DIV/0!</v>
      </c>
    </row>
    <row r="6" spans="1:19" x14ac:dyDescent="0.35">
      <c r="A6" s="31">
        <f>VS_inputs!A35</f>
        <v>0</v>
      </c>
      <c r="B6" s="29">
        <f>VS_inputs!B35</f>
        <v>0</v>
      </c>
      <c r="C6" s="29">
        <f>VS_inputs!C35</f>
        <v>0</v>
      </c>
      <c r="D6" s="29">
        <f>VS_inputs!D35</f>
        <v>0</v>
      </c>
      <c r="E6" s="29">
        <f>VS_inputs!E35</f>
        <v>0</v>
      </c>
      <c r="F6" s="31">
        <f t="shared" si="5"/>
        <v>0</v>
      </c>
      <c r="G6" s="31">
        <f t="shared" si="6"/>
        <v>0</v>
      </c>
      <c r="H6" s="41" t="e">
        <f t="shared" si="0"/>
        <v>#DIV/0!</v>
      </c>
      <c r="I6" s="31">
        <f t="shared" si="1"/>
        <v>5</v>
      </c>
      <c r="J6" s="52">
        <v>0</v>
      </c>
      <c r="K6" s="31">
        <f t="shared" si="2"/>
        <v>217.39024390243901</v>
      </c>
      <c r="L6" s="41" t="e">
        <f t="shared" si="3"/>
        <v>#DIV/0!</v>
      </c>
      <c r="M6" s="31">
        <f t="shared" si="7"/>
        <v>304.14634146341461</v>
      </c>
      <c r="N6" s="41" t="e">
        <f t="shared" si="4"/>
        <v>#DIV/0!</v>
      </c>
    </row>
    <row r="7" spans="1:19" x14ac:dyDescent="0.35">
      <c r="A7" s="31">
        <f>VS_inputs!A36</f>
        <v>0</v>
      </c>
      <c r="B7" s="29">
        <f>VS_inputs!B36</f>
        <v>0</v>
      </c>
      <c r="C7" s="29">
        <f>VS_inputs!C36</f>
        <v>0</v>
      </c>
      <c r="D7" s="29">
        <f>VS_inputs!D36</f>
        <v>0</v>
      </c>
      <c r="E7" s="29">
        <f>VS_inputs!E36</f>
        <v>0</v>
      </c>
      <c r="F7" s="31">
        <f t="shared" si="5"/>
        <v>0</v>
      </c>
      <c r="G7" s="31">
        <f t="shared" si="6"/>
        <v>0</v>
      </c>
      <c r="H7" s="41" t="e">
        <f t="shared" si="0"/>
        <v>#DIV/0!</v>
      </c>
      <c r="I7" s="31">
        <f t="shared" si="1"/>
        <v>5</v>
      </c>
      <c r="J7" s="52">
        <v>0</v>
      </c>
      <c r="K7" s="31">
        <f t="shared" si="2"/>
        <v>217.39024390243901</v>
      </c>
      <c r="L7" s="41" t="e">
        <f t="shared" si="3"/>
        <v>#DIV/0!</v>
      </c>
      <c r="M7" s="31">
        <f t="shared" si="7"/>
        <v>304.14634146341461</v>
      </c>
      <c r="N7" s="41" t="e">
        <f t="shared" si="4"/>
        <v>#DIV/0!</v>
      </c>
    </row>
    <row r="8" spans="1:19" x14ac:dyDescent="0.35">
      <c r="A8" s="31">
        <f>VS_inputs!A37</f>
        <v>0</v>
      </c>
      <c r="B8" s="29">
        <f>VS_inputs!B37</f>
        <v>0</v>
      </c>
      <c r="C8" s="29">
        <f>VS_inputs!C37</f>
        <v>0</v>
      </c>
      <c r="D8" s="29">
        <f>VS_inputs!D37</f>
        <v>0</v>
      </c>
      <c r="E8" s="29">
        <f>VS_inputs!E37</f>
        <v>0</v>
      </c>
      <c r="F8" s="31">
        <f t="shared" si="5"/>
        <v>0</v>
      </c>
      <c r="G8" s="31">
        <f t="shared" si="6"/>
        <v>0</v>
      </c>
      <c r="H8" s="41" t="e">
        <f t="shared" si="0"/>
        <v>#DIV/0!</v>
      </c>
      <c r="I8" s="31">
        <f t="shared" si="1"/>
        <v>5</v>
      </c>
      <c r="J8" s="52">
        <v>0</v>
      </c>
      <c r="K8" s="31">
        <f t="shared" si="2"/>
        <v>217.39024390243901</v>
      </c>
      <c r="L8" s="41" t="e">
        <f t="shared" si="3"/>
        <v>#DIV/0!</v>
      </c>
      <c r="M8" s="31">
        <f t="shared" si="7"/>
        <v>304.14634146341461</v>
      </c>
      <c r="N8" s="41" t="e">
        <f t="shared" si="4"/>
        <v>#DIV/0!</v>
      </c>
    </row>
    <row r="9" spans="1:19" x14ac:dyDescent="0.35">
      <c r="A9" s="31">
        <f>VS_inputs!A38</f>
        <v>0</v>
      </c>
      <c r="B9" s="29">
        <f>VS_inputs!B38</f>
        <v>0</v>
      </c>
      <c r="C9" s="29">
        <f>VS_inputs!C38</f>
        <v>0</v>
      </c>
      <c r="D9" s="29">
        <f>VS_inputs!D38</f>
        <v>0</v>
      </c>
      <c r="E9" s="29">
        <f>VS_inputs!E38</f>
        <v>0</v>
      </c>
      <c r="F9" s="31">
        <f t="shared" si="5"/>
        <v>0</v>
      </c>
      <c r="G9" s="31">
        <f t="shared" si="6"/>
        <v>0</v>
      </c>
      <c r="H9" s="41" t="e">
        <f t="shared" si="0"/>
        <v>#DIV/0!</v>
      </c>
      <c r="I9" s="31">
        <f t="shared" si="1"/>
        <v>5</v>
      </c>
      <c r="J9" s="52">
        <v>0</v>
      </c>
      <c r="K9" s="31">
        <f t="shared" si="2"/>
        <v>217.39024390243901</v>
      </c>
      <c r="L9" s="41" t="e">
        <f t="shared" si="3"/>
        <v>#DIV/0!</v>
      </c>
      <c r="M9" s="31">
        <f t="shared" si="7"/>
        <v>304.14634146341461</v>
      </c>
      <c r="N9" s="41" t="e">
        <f t="shared" si="4"/>
        <v>#DIV/0!</v>
      </c>
    </row>
    <row r="10" spans="1:19" x14ac:dyDescent="0.35">
      <c r="A10" s="31">
        <f>VS_inputs!A39</f>
        <v>0</v>
      </c>
      <c r="B10" s="29">
        <f>VS_inputs!B39</f>
        <v>0</v>
      </c>
      <c r="C10" s="29">
        <f>VS_inputs!C39</f>
        <v>0</v>
      </c>
      <c r="D10" s="29">
        <f>VS_inputs!D39</f>
        <v>0</v>
      </c>
      <c r="E10" s="29">
        <f>VS_inputs!E39</f>
        <v>0</v>
      </c>
      <c r="F10" s="31">
        <f t="shared" si="5"/>
        <v>0</v>
      </c>
      <c r="G10" s="31">
        <f t="shared" si="6"/>
        <v>0</v>
      </c>
      <c r="H10" s="41" t="e">
        <f t="shared" si="0"/>
        <v>#DIV/0!</v>
      </c>
      <c r="I10" s="31">
        <f t="shared" si="1"/>
        <v>5</v>
      </c>
      <c r="J10" s="52">
        <v>0</v>
      </c>
      <c r="K10" s="31">
        <f t="shared" si="2"/>
        <v>217.39024390243901</v>
      </c>
      <c r="L10" s="41" t="e">
        <f t="shared" si="3"/>
        <v>#DIV/0!</v>
      </c>
      <c r="M10" s="31">
        <f t="shared" si="7"/>
        <v>304.14634146341461</v>
      </c>
      <c r="N10" s="41" t="e">
        <f t="shared" si="4"/>
        <v>#DIV/0!</v>
      </c>
    </row>
    <row r="11" spans="1:19" x14ac:dyDescent="0.35">
      <c r="A11" s="31">
        <f>VS_inputs!A40</f>
        <v>0</v>
      </c>
      <c r="B11" s="29">
        <f>VS_inputs!B40</f>
        <v>0</v>
      </c>
      <c r="C11" s="29">
        <f>VS_inputs!C40</f>
        <v>0</v>
      </c>
      <c r="D11" s="29">
        <f>VS_inputs!D40</f>
        <v>0</v>
      </c>
      <c r="E11" s="29">
        <f>VS_inputs!E40</f>
        <v>0</v>
      </c>
      <c r="F11" s="31">
        <f t="shared" si="5"/>
        <v>0</v>
      </c>
      <c r="G11" s="31">
        <f t="shared" si="6"/>
        <v>0</v>
      </c>
      <c r="H11" s="41" t="e">
        <f t="shared" si="0"/>
        <v>#DIV/0!</v>
      </c>
      <c r="I11" s="31">
        <f t="shared" si="1"/>
        <v>5</v>
      </c>
      <c r="J11" s="52">
        <v>0</v>
      </c>
      <c r="K11" s="31">
        <f t="shared" si="2"/>
        <v>217.39024390243901</v>
      </c>
      <c r="L11" s="41" t="e">
        <f t="shared" si="3"/>
        <v>#DIV/0!</v>
      </c>
      <c r="M11" s="31">
        <f t="shared" si="7"/>
        <v>304.14634146341461</v>
      </c>
      <c r="N11" s="41" t="e">
        <f t="shared" si="4"/>
        <v>#DIV/0!</v>
      </c>
    </row>
    <row r="12" spans="1:19" x14ac:dyDescent="0.35">
      <c r="A12" s="31">
        <f>VS_inputs!A41</f>
        <v>0</v>
      </c>
      <c r="B12" s="29">
        <f>VS_inputs!B41</f>
        <v>0</v>
      </c>
      <c r="C12" s="29">
        <f>VS_inputs!C41</f>
        <v>0</v>
      </c>
      <c r="D12" s="29">
        <f>VS_inputs!D41</f>
        <v>0</v>
      </c>
      <c r="E12" s="29">
        <f>VS_inputs!E41</f>
        <v>0</v>
      </c>
      <c r="F12" s="31">
        <f t="shared" si="5"/>
        <v>0</v>
      </c>
      <c r="G12" s="31">
        <f t="shared" si="6"/>
        <v>0</v>
      </c>
      <c r="H12" s="41" t="e">
        <f t="shared" si="0"/>
        <v>#DIV/0!</v>
      </c>
      <c r="I12" s="31">
        <f t="shared" si="1"/>
        <v>5</v>
      </c>
      <c r="J12" s="52">
        <v>0</v>
      </c>
      <c r="K12" s="31">
        <f t="shared" si="2"/>
        <v>217.39024390243901</v>
      </c>
      <c r="L12" s="41" t="e">
        <f t="shared" si="3"/>
        <v>#DIV/0!</v>
      </c>
      <c r="M12" s="31">
        <f t="shared" si="7"/>
        <v>304.14634146341461</v>
      </c>
      <c r="N12" s="41" t="e">
        <f t="shared" si="4"/>
        <v>#DIV/0!</v>
      </c>
    </row>
    <row r="15" spans="1:19" x14ac:dyDescent="0.35">
      <c r="B15" s="228" t="s">
        <v>74</v>
      </c>
      <c r="C15" s="229"/>
      <c r="D15" s="229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30"/>
      <c r="Q15" s="227" t="s">
        <v>106</v>
      </c>
      <c r="R15" s="227"/>
      <c r="S15" s="227"/>
    </row>
    <row r="16" spans="1:19" ht="96" x14ac:dyDescent="0.35">
      <c r="A16" s="32" t="s">
        <v>33</v>
      </c>
      <c r="B16" s="39" t="s">
        <v>107</v>
      </c>
      <c r="C16" s="39" t="s">
        <v>49</v>
      </c>
      <c r="D16" s="39" t="s">
        <v>50</v>
      </c>
      <c r="E16" s="39" t="s">
        <v>51</v>
      </c>
      <c r="F16" s="39" t="s">
        <v>52</v>
      </c>
      <c r="G16" s="39" t="s">
        <v>53</v>
      </c>
      <c r="H16" s="40" t="s">
        <v>83</v>
      </c>
      <c r="I16" s="40" t="s">
        <v>54</v>
      </c>
      <c r="J16" s="40" t="s">
        <v>55</v>
      </c>
      <c r="K16" s="40" t="s">
        <v>56</v>
      </c>
      <c r="L16" s="40" t="s">
        <v>57</v>
      </c>
      <c r="M16" s="40" t="s">
        <v>58</v>
      </c>
      <c r="N16" s="40" t="s">
        <v>59</v>
      </c>
      <c r="O16" s="40" t="s">
        <v>60</v>
      </c>
      <c r="P16" s="40" t="s">
        <v>61</v>
      </c>
      <c r="Q16" s="53" t="s">
        <v>108</v>
      </c>
      <c r="R16" s="53" t="s">
        <v>109</v>
      </c>
      <c r="S16" s="53" t="s">
        <v>110</v>
      </c>
    </row>
    <row r="17" spans="1:20" x14ac:dyDescent="0.35">
      <c r="A17" s="31">
        <f>VS_inputs!A47</f>
        <v>0</v>
      </c>
      <c r="B17" s="55">
        <f>VS_inputs!B47</f>
        <v>0</v>
      </c>
      <c r="C17" s="56">
        <f t="shared" ref="C17:C26" si="8">D17+2*E17*F17</f>
        <v>0</v>
      </c>
      <c r="D17" s="29">
        <f>VS_inputs!D47</f>
        <v>0</v>
      </c>
      <c r="E17" s="29">
        <f>VS_inputs!E47</f>
        <v>0</v>
      </c>
      <c r="F17" s="29">
        <f>VS_inputs!F47</f>
        <v>0</v>
      </c>
      <c r="G17" s="29">
        <f>VS_inputs!H47</f>
        <v>0</v>
      </c>
      <c r="H17" s="31">
        <f t="shared" ref="H17:H26" si="9">E17*0.85</f>
        <v>0</v>
      </c>
      <c r="I17" s="42">
        <f>VS_inputs!K47</f>
        <v>0</v>
      </c>
      <c r="J17" s="29">
        <f>VS_inputs!L47</f>
        <v>0</v>
      </c>
      <c r="K17" s="31">
        <f t="shared" ref="K17:K26" si="10">D17+2*H17*F17</f>
        <v>0</v>
      </c>
      <c r="L17" s="31">
        <f t="shared" ref="L17:L26" si="11">SQRT(((K17-D17)/2)^2+H17^2)</f>
        <v>0</v>
      </c>
      <c r="M17" s="31">
        <f t="shared" ref="M17:M26" si="12">(K17+D17)/2*H17</f>
        <v>0</v>
      </c>
      <c r="N17" s="31">
        <f>D17+2*L17</f>
        <v>0</v>
      </c>
      <c r="O17" s="31" t="e">
        <f t="shared" ref="O17:O26" si="13">M17/N17</f>
        <v>#DIV/0!</v>
      </c>
      <c r="P17" s="41" t="e">
        <f t="shared" ref="P17:P26" si="14">1/J17*M17*(O17^(2/3))*((1/G17)^0.5)</f>
        <v>#DIV/0!</v>
      </c>
      <c r="Q17" s="56">
        <f t="shared" ref="Q17:Q26" si="15">B3*C3+D3*E3</f>
        <v>0</v>
      </c>
      <c r="R17" s="56">
        <f t="shared" ref="R17:R26" si="16">D17*B17</f>
        <v>0</v>
      </c>
      <c r="S17" s="93" t="e">
        <f>R17/Q17</f>
        <v>#DIV/0!</v>
      </c>
    </row>
    <row r="18" spans="1:20" x14ac:dyDescent="0.35">
      <c r="A18" s="31">
        <f>VS_inputs!A48</f>
        <v>0</v>
      </c>
      <c r="B18" s="55">
        <f>VS_inputs!B48</f>
        <v>0</v>
      </c>
      <c r="C18" s="56">
        <f t="shared" si="8"/>
        <v>0</v>
      </c>
      <c r="D18" s="29">
        <f>VS_inputs!D48</f>
        <v>0</v>
      </c>
      <c r="E18" s="29">
        <f>VS_inputs!E48</f>
        <v>0</v>
      </c>
      <c r="F18" s="29">
        <f>VS_inputs!F48</f>
        <v>0</v>
      </c>
      <c r="G18" s="29">
        <f>VS_inputs!H48</f>
        <v>0</v>
      </c>
      <c r="H18" s="31">
        <f t="shared" si="9"/>
        <v>0</v>
      </c>
      <c r="I18" s="42">
        <f>VS_inputs!K48</f>
        <v>0</v>
      </c>
      <c r="J18" s="29">
        <f>VS_inputs!L48</f>
        <v>0</v>
      </c>
      <c r="K18" s="31">
        <f t="shared" si="10"/>
        <v>0</v>
      </c>
      <c r="L18" s="31">
        <f t="shared" si="11"/>
        <v>0</v>
      </c>
      <c r="M18" s="31">
        <f t="shared" si="12"/>
        <v>0</v>
      </c>
      <c r="N18" s="31">
        <f t="shared" ref="N18:N26" si="17">D18+2*L18</f>
        <v>0</v>
      </c>
      <c r="O18" s="31" t="e">
        <f t="shared" si="13"/>
        <v>#DIV/0!</v>
      </c>
      <c r="P18" s="41" t="e">
        <f t="shared" si="14"/>
        <v>#DIV/0!</v>
      </c>
      <c r="Q18" s="56">
        <f t="shared" si="15"/>
        <v>0</v>
      </c>
      <c r="R18" s="56">
        <f t="shared" si="16"/>
        <v>0</v>
      </c>
      <c r="S18" s="93" t="e">
        <f t="shared" ref="S18:S26" si="18">R18/Q18</f>
        <v>#DIV/0!</v>
      </c>
    </row>
    <row r="19" spans="1:20" x14ac:dyDescent="0.35">
      <c r="A19" s="31">
        <f>VS_inputs!A49</f>
        <v>0</v>
      </c>
      <c r="B19" s="55">
        <f>VS_inputs!B49</f>
        <v>0</v>
      </c>
      <c r="C19" s="56">
        <f t="shared" si="8"/>
        <v>0</v>
      </c>
      <c r="D19" s="29">
        <f>VS_inputs!D49</f>
        <v>0</v>
      </c>
      <c r="E19" s="29">
        <f>VS_inputs!E49</f>
        <v>0</v>
      </c>
      <c r="F19" s="29">
        <f>VS_inputs!F49</f>
        <v>0</v>
      </c>
      <c r="G19" s="29">
        <f>VS_inputs!H49</f>
        <v>0</v>
      </c>
      <c r="H19" s="31">
        <f t="shared" si="9"/>
        <v>0</v>
      </c>
      <c r="I19" s="42">
        <f>VS_inputs!K49</f>
        <v>0</v>
      </c>
      <c r="J19" s="29">
        <f>VS_inputs!L49</f>
        <v>0</v>
      </c>
      <c r="K19" s="31">
        <f t="shared" si="10"/>
        <v>0</v>
      </c>
      <c r="L19" s="31">
        <f t="shared" si="11"/>
        <v>0</v>
      </c>
      <c r="M19" s="31">
        <f t="shared" si="12"/>
        <v>0</v>
      </c>
      <c r="N19" s="31">
        <f t="shared" si="17"/>
        <v>0</v>
      </c>
      <c r="O19" s="31" t="e">
        <f t="shared" si="13"/>
        <v>#DIV/0!</v>
      </c>
      <c r="P19" s="41" t="e">
        <f t="shared" si="14"/>
        <v>#DIV/0!</v>
      </c>
      <c r="Q19" s="56">
        <f t="shared" si="15"/>
        <v>0</v>
      </c>
      <c r="R19" s="56">
        <f t="shared" si="16"/>
        <v>0</v>
      </c>
      <c r="S19" s="93" t="e">
        <f t="shared" si="18"/>
        <v>#DIV/0!</v>
      </c>
    </row>
    <row r="20" spans="1:20" x14ac:dyDescent="0.35">
      <c r="A20" s="31">
        <f>VS_inputs!A50</f>
        <v>0</v>
      </c>
      <c r="B20" s="55">
        <f>VS_inputs!B50</f>
        <v>0</v>
      </c>
      <c r="C20" s="56">
        <f t="shared" si="8"/>
        <v>0</v>
      </c>
      <c r="D20" s="29">
        <f>VS_inputs!D50</f>
        <v>0</v>
      </c>
      <c r="E20" s="29">
        <f>VS_inputs!E50</f>
        <v>0</v>
      </c>
      <c r="F20" s="29">
        <f>VS_inputs!F50</f>
        <v>0</v>
      </c>
      <c r="G20" s="29">
        <f>VS_inputs!H50</f>
        <v>0</v>
      </c>
      <c r="H20" s="31">
        <f t="shared" si="9"/>
        <v>0</v>
      </c>
      <c r="I20" s="42">
        <f>VS_inputs!K50</f>
        <v>0</v>
      </c>
      <c r="J20" s="29">
        <f>VS_inputs!L50</f>
        <v>0</v>
      </c>
      <c r="K20" s="31">
        <f t="shared" si="10"/>
        <v>0</v>
      </c>
      <c r="L20" s="31">
        <f t="shared" si="11"/>
        <v>0</v>
      </c>
      <c r="M20" s="31">
        <f t="shared" si="12"/>
        <v>0</v>
      </c>
      <c r="N20" s="31">
        <f t="shared" si="17"/>
        <v>0</v>
      </c>
      <c r="O20" s="31" t="e">
        <f t="shared" si="13"/>
        <v>#DIV/0!</v>
      </c>
      <c r="P20" s="41" t="e">
        <f t="shared" si="14"/>
        <v>#DIV/0!</v>
      </c>
      <c r="Q20" s="56">
        <f t="shared" si="15"/>
        <v>0</v>
      </c>
      <c r="R20" s="56">
        <f t="shared" si="16"/>
        <v>0</v>
      </c>
      <c r="S20" s="93" t="e">
        <f t="shared" si="18"/>
        <v>#DIV/0!</v>
      </c>
    </row>
    <row r="21" spans="1:20" x14ac:dyDescent="0.35">
      <c r="A21" s="31">
        <f>VS_inputs!A51</f>
        <v>0</v>
      </c>
      <c r="B21" s="55">
        <f>VS_inputs!B51</f>
        <v>0</v>
      </c>
      <c r="C21" s="56">
        <f t="shared" si="8"/>
        <v>0</v>
      </c>
      <c r="D21" s="29">
        <f>VS_inputs!D51</f>
        <v>0</v>
      </c>
      <c r="E21" s="29">
        <f>VS_inputs!E51</f>
        <v>0</v>
      </c>
      <c r="F21" s="29">
        <f>VS_inputs!F51</f>
        <v>0</v>
      </c>
      <c r="G21" s="29">
        <f>VS_inputs!H51</f>
        <v>0</v>
      </c>
      <c r="H21" s="31">
        <f t="shared" si="9"/>
        <v>0</v>
      </c>
      <c r="I21" s="42">
        <f>VS_inputs!K51</f>
        <v>0</v>
      </c>
      <c r="J21" s="29">
        <f>VS_inputs!L51</f>
        <v>0</v>
      </c>
      <c r="K21" s="31">
        <f t="shared" si="10"/>
        <v>0</v>
      </c>
      <c r="L21" s="31">
        <f t="shared" si="11"/>
        <v>0</v>
      </c>
      <c r="M21" s="31">
        <f t="shared" si="12"/>
        <v>0</v>
      </c>
      <c r="N21" s="31">
        <f t="shared" si="17"/>
        <v>0</v>
      </c>
      <c r="O21" s="31" t="e">
        <f t="shared" si="13"/>
        <v>#DIV/0!</v>
      </c>
      <c r="P21" s="41" t="e">
        <f t="shared" si="14"/>
        <v>#DIV/0!</v>
      </c>
      <c r="Q21" s="56">
        <f t="shared" si="15"/>
        <v>0</v>
      </c>
      <c r="R21" s="56">
        <f t="shared" si="16"/>
        <v>0</v>
      </c>
      <c r="S21" s="93" t="e">
        <f t="shared" si="18"/>
        <v>#DIV/0!</v>
      </c>
    </row>
    <row r="22" spans="1:20" x14ac:dyDescent="0.35">
      <c r="A22" s="31">
        <f>VS_inputs!A52</f>
        <v>0</v>
      </c>
      <c r="B22" s="55">
        <f>VS_inputs!B52</f>
        <v>0</v>
      </c>
      <c r="C22" s="56">
        <f t="shared" si="8"/>
        <v>0</v>
      </c>
      <c r="D22" s="29">
        <f>VS_inputs!D52</f>
        <v>0</v>
      </c>
      <c r="E22" s="29">
        <f>VS_inputs!E52</f>
        <v>0</v>
      </c>
      <c r="F22" s="29">
        <f>VS_inputs!F52</f>
        <v>0</v>
      </c>
      <c r="G22" s="29">
        <f>VS_inputs!H52</f>
        <v>0</v>
      </c>
      <c r="H22" s="31">
        <f t="shared" si="9"/>
        <v>0</v>
      </c>
      <c r="I22" s="42">
        <f>VS_inputs!K52</f>
        <v>0</v>
      </c>
      <c r="J22" s="29">
        <f>VS_inputs!L52</f>
        <v>0</v>
      </c>
      <c r="K22" s="31">
        <f t="shared" si="10"/>
        <v>0</v>
      </c>
      <c r="L22" s="31">
        <f t="shared" si="11"/>
        <v>0</v>
      </c>
      <c r="M22" s="31">
        <f t="shared" si="12"/>
        <v>0</v>
      </c>
      <c r="N22" s="31">
        <f t="shared" si="17"/>
        <v>0</v>
      </c>
      <c r="O22" s="31" t="e">
        <f t="shared" si="13"/>
        <v>#DIV/0!</v>
      </c>
      <c r="P22" s="41" t="e">
        <f t="shared" si="14"/>
        <v>#DIV/0!</v>
      </c>
      <c r="Q22" s="56">
        <f t="shared" si="15"/>
        <v>0</v>
      </c>
      <c r="R22" s="56">
        <f t="shared" si="16"/>
        <v>0</v>
      </c>
      <c r="S22" s="93" t="e">
        <f t="shared" si="18"/>
        <v>#DIV/0!</v>
      </c>
    </row>
    <row r="23" spans="1:20" x14ac:dyDescent="0.35">
      <c r="A23" s="31">
        <f>VS_inputs!A53</f>
        <v>0</v>
      </c>
      <c r="B23" s="55">
        <f>VS_inputs!B53</f>
        <v>0</v>
      </c>
      <c r="C23" s="56">
        <f t="shared" si="8"/>
        <v>0</v>
      </c>
      <c r="D23" s="29">
        <f>VS_inputs!D53</f>
        <v>0</v>
      </c>
      <c r="E23" s="29">
        <f>VS_inputs!E53</f>
        <v>0</v>
      </c>
      <c r="F23" s="29">
        <f>VS_inputs!F53</f>
        <v>0</v>
      </c>
      <c r="G23" s="29">
        <f>VS_inputs!H53</f>
        <v>0</v>
      </c>
      <c r="H23" s="31">
        <f t="shared" si="9"/>
        <v>0</v>
      </c>
      <c r="I23" s="42">
        <f>VS_inputs!K53</f>
        <v>0</v>
      </c>
      <c r="J23" s="29">
        <f>VS_inputs!L53</f>
        <v>0</v>
      </c>
      <c r="K23" s="31">
        <f t="shared" si="10"/>
        <v>0</v>
      </c>
      <c r="L23" s="31">
        <f t="shared" si="11"/>
        <v>0</v>
      </c>
      <c r="M23" s="31">
        <f t="shared" si="12"/>
        <v>0</v>
      </c>
      <c r="N23" s="31">
        <f t="shared" si="17"/>
        <v>0</v>
      </c>
      <c r="O23" s="31" t="e">
        <f t="shared" si="13"/>
        <v>#DIV/0!</v>
      </c>
      <c r="P23" s="41" t="e">
        <f t="shared" si="14"/>
        <v>#DIV/0!</v>
      </c>
      <c r="Q23" s="56">
        <f t="shared" si="15"/>
        <v>0</v>
      </c>
      <c r="R23" s="56">
        <f t="shared" si="16"/>
        <v>0</v>
      </c>
      <c r="S23" s="93" t="e">
        <f t="shared" si="18"/>
        <v>#DIV/0!</v>
      </c>
    </row>
    <row r="24" spans="1:20" x14ac:dyDescent="0.35">
      <c r="A24" s="31">
        <f>VS_inputs!A54</f>
        <v>0</v>
      </c>
      <c r="B24" s="55">
        <f>VS_inputs!B54</f>
        <v>0</v>
      </c>
      <c r="C24" s="56">
        <f t="shared" si="8"/>
        <v>0</v>
      </c>
      <c r="D24" s="29">
        <f>VS_inputs!D54</f>
        <v>0</v>
      </c>
      <c r="E24" s="29">
        <f>VS_inputs!E54</f>
        <v>0</v>
      </c>
      <c r="F24" s="29">
        <f>VS_inputs!F54</f>
        <v>0</v>
      </c>
      <c r="G24" s="29">
        <f>VS_inputs!H54</f>
        <v>0</v>
      </c>
      <c r="H24" s="31">
        <f t="shared" si="9"/>
        <v>0</v>
      </c>
      <c r="I24" s="42">
        <f>VS_inputs!K54</f>
        <v>0</v>
      </c>
      <c r="J24" s="29">
        <f>VS_inputs!L54</f>
        <v>0</v>
      </c>
      <c r="K24" s="31">
        <f t="shared" si="10"/>
        <v>0</v>
      </c>
      <c r="L24" s="31">
        <f t="shared" si="11"/>
        <v>0</v>
      </c>
      <c r="M24" s="31">
        <f t="shared" si="12"/>
        <v>0</v>
      </c>
      <c r="N24" s="31">
        <f t="shared" si="17"/>
        <v>0</v>
      </c>
      <c r="O24" s="31" t="e">
        <f t="shared" si="13"/>
        <v>#DIV/0!</v>
      </c>
      <c r="P24" s="41" t="e">
        <f t="shared" si="14"/>
        <v>#DIV/0!</v>
      </c>
      <c r="Q24" s="56">
        <f t="shared" si="15"/>
        <v>0</v>
      </c>
      <c r="R24" s="56">
        <f t="shared" si="16"/>
        <v>0</v>
      </c>
      <c r="S24" s="93" t="e">
        <f t="shared" si="18"/>
        <v>#DIV/0!</v>
      </c>
    </row>
    <row r="25" spans="1:20" x14ac:dyDescent="0.35">
      <c r="A25" s="31">
        <f>VS_inputs!A55</f>
        <v>0</v>
      </c>
      <c r="B25" s="55">
        <f>VS_inputs!B55</f>
        <v>0</v>
      </c>
      <c r="C25" s="56">
        <f t="shared" si="8"/>
        <v>0</v>
      </c>
      <c r="D25" s="29">
        <f>VS_inputs!D55</f>
        <v>0</v>
      </c>
      <c r="E25" s="29">
        <f>VS_inputs!E55</f>
        <v>0</v>
      </c>
      <c r="F25" s="29">
        <f>VS_inputs!F55</f>
        <v>0</v>
      </c>
      <c r="G25" s="29">
        <f>VS_inputs!H55</f>
        <v>0</v>
      </c>
      <c r="H25" s="31">
        <f t="shared" si="9"/>
        <v>0</v>
      </c>
      <c r="I25" s="42">
        <f>VS_inputs!K55</f>
        <v>0</v>
      </c>
      <c r="J25" s="29">
        <f>VS_inputs!L55</f>
        <v>0</v>
      </c>
      <c r="K25" s="31">
        <f t="shared" si="10"/>
        <v>0</v>
      </c>
      <c r="L25" s="31">
        <f t="shared" si="11"/>
        <v>0</v>
      </c>
      <c r="M25" s="31">
        <f t="shared" si="12"/>
        <v>0</v>
      </c>
      <c r="N25" s="31">
        <f t="shared" si="17"/>
        <v>0</v>
      </c>
      <c r="O25" s="31" t="e">
        <f t="shared" si="13"/>
        <v>#DIV/0!</v>
      </c>
      <c r="P25" s="41" t="e">
        <f t="shared" si="14"/>
        <v>#DIV/0!</v>
      </c>
      <c r="Q25" s="56">
        <f t="shared" si="15"/>
        <v>0</v>
      </c>
      <c r="R25" s="56">
        <f t="shared" si="16"/>
        <v>0</v>
      </c>
      <c r="S25" s="93" t="e">
        <f t="shared" si="18"/>
        <v>#DIV/0!</v>
      </c>
    </row>
    <row r="26" spans="1:20" x14ac:dyDescent="0.35">
      <c r="A26" s="31">
        <f>VS_inputs!A56</f>
        <v>0</v>
      </c>
      <c r="B26" s="55">
        <f>VS_inputs!B56</f>
        <v>0</v>
      </c>
      <c r="C26" s="56">
        <f t="shared" si="8"/>
        <v>0</v>
      </c>
      <c r="D26" s="29">
        <f>VS_inputs!D56</f>
        <v>0</v>
      </c>
      <c r="E26" s="29">
        <f>VS_inputs!E56</f>
        <v>0</v>
      </c>
      <c r="F26" s="29">
        <f>VS_inputs!F56</f>
        <v>0</v>
      </c>
      <c r="G26" s="29">
        <f>VS_inputs!H56</f>
        <v>0</v>
      </c>
      <c r="H26" s="31">
        <f t="shared" si="9"/>
        <v>0</v>
      </c>
      <c r="I26" s="42">
        <f>VS_inputs!K56</f>
        <v>0</v>
      </c>
      <c r="J26" s="29">
        <f>VS_inputs!L56</f>
        <v>0</v>
      </c>
      <c r="K26" s="31">
        <f t="shared" si="10"/>
        <v>0</v>
      </c>
      <c r="L26" s="31">
        <f t="shared" si="11"/>
        <v>0</v>
      </c>
      <c r="M26" s="31">
        <f t="shared" si="12"/>
        <v>0</v>
      </c>
      <c r="N26" s="31">
        <f t="shared" si="17"/>
        <v>0</v>
      </c>
      <c r="O26" s="31" t="e">
        <f t="shared" si="13"/>
        <v>#DIV/0!</v>
      </c>
      <c r="P26" s="41" t="e">
        <f t="shared" si="14"/>
        <v>#DIV/0!</v>
      </c>
      <c r="Q26" s="56">
        <f t="shared" si="15"/>
        <v>0</v>
      </c>
      <c r="R26" s="56">
        <f t="shared" si="16"/>
        <v>0</v>
      </c>
      <c r="S26" s="93" t="e">
        <f t="shared" si="18"/>
        <v>#DIV/0!</v>
      </c>
    </row>
    <row r="30" spans="1:20" x14ac:dyDescent="0.35">
      <c r="B30" s="222" t="s">
        <v>72</v>
      </c>
      <c r="C30" s="222"/>
      <c r="D30" s="222"/>
      <c r="E30" s="222"/>
      <c r="F30" s="222"/>
      <c r="G30" s="222"/>
      <c r="H30" s="222"/>
      <c r="I30" s="222"/>
      <c r="J30" s="222"/>
      <c r="K30" s="222" t="s">
        <v>73</v>
      </c>
      <c r="L30" s="222"/>
      <c r="M30" s="222"/>
      <c r="N30" s="222"/>
      <c r="O30" s="222"/>
      <c r="P30" s="222"/>
      <c r="Q30" s="222"/>
      <c r="R30" s="222"/>
      <c r="S30" s="222"/>
      <c r="T30" s="222"/>
    </row>
    <row r="31" spans="1:20" ht="93" x14ac:dyDescent="0.35">
      <c r="A31" s="32" t="s">
        <v>33</v>
      </c>
      <c r="B31" s="37" t="s">
        <v>4</v>
      </c>
      <c r="C31" s="37" t="s">
        <v>105</v>
      </c>
      <c r="D31" s="37" t="s">
        <v>62</v>
      </c>
      <c r="E31" s="37" t="s">
        <v>63</v>
      </c>
      <c r="F31" s="38" t="s">
        <v>64</v>
      </c>
      <c r="G31" s="38" t="s">
        <v>65</v>
      </c>
      <c r="H31" s="38" t="s">
        <v>66</v>
      </c>
      <c r="I31" s="37" t="s">
        <v>27</v>
      </c>
      <c r="J31" s="37" t="s">
        <v>5</v>
      </c>
      <c r="K31" s="37" t="s">
        <v>28</v>
      </c>
      <c r="L31" s="37" t="s">
        <v>105</v>
      </c>
      <c r="M31" s="37" t="s">
        <v>67</v>
      </c>
      <c r="N31" s="37" t="s">
        <v>68</v>
      </c>
      <c r="O31" s="38" t="s">
        <v>69</v>
      </c>
      <c r="P31" s="38" t="s">
        <v>70</v>
      </c>
      <c r="Q31" s="38" t="s">
        <v>71</v>
      </c>
      <c r="R31" s="37" t="s">
        <v>27</v>
      </c>
      <c r="S31" s="37" t="s">
        <v>6</v>
      </c>
      <c r="T31" s="37" t="s">
        <v>7</v>
      </c>
    </row>
    <row r="32" spans="1:20" x14ac:dyDescent="0.35">
      <c r="A32" s="31">
        <f>VS_inputs!A62</f>
        <v>0</v>
      </c>
      <c r="B32" s="29">
        <f>VS_inputs!B62</f>
        <v>0</v>
      </c>
      <c r="C32" s="29">
        <f>VS_inputs!D62</f>
        <v>0</v>
      </c>
      <c r="D32" s="31">
        <f t="shared" ref="D32:D41" si="19">$D17+2*(B32*$F17)</f>
        <v>0</v>
      </c>
      <c r="E32" s="31">
        <f t="shared" ref="E32:E41" si="20">SQRT(((D32-$D17)/2)^2+B32^2)</f>
        <v>0</v>
      </c>
      <c r="F32" s="31">
        <f t="shared" ref="F32:F41" si="21">(D32+$D17)/2*B32</f>
        <v>0</v>
      </c>
      <c r="G32" s="31">
        <f t="shared" ref="G32:G41" si="22">$D17+2*E32</f>
        <v>0</v>
      </c>
      <c r="H32" s="31" t="e">
        <f>F32/G32</f>
        <v>#DIV/0!</v>
      </c>
      <c r="I32" s="41" t="e">
        <f t="shared" ref="I32:I41" si="23">1/$C32*F32*(H32^(2/3))*((1/$G17)^0.5)</f>
        <v>#DIV/0!</v>
      </c>
      <c r="J32" s="41" t="e">
        <f>I32/F32</f>
        <v>#DIV/0!</v>
      </c>
      <c r="K32" s="29">
        <f>VS_inputs!G62</f>
        <v>0</v>
      </c>
      <c r="L32" s="29">
        <f>VS_inputs!I62</f>
        <v>0</v>
      </c>
      <c r="M32" s="31">
        <f t="shared" ref="M32:M41" si="24">$D17+2*(K32*$F17)</f>
        <v>0</v>
      </c>
      <c r="N32" s="31">
        <f t="shared" ref="N32:N41" si="25">SQRT(((M32-$D17)/2)^2+K32^2)</f>
        <v>0</v>
      </c>
      <c r="O32" s="31">
        <f t="shared" ref="O32:O41" si="26">(M32+$D17)/2*K32</f>
        <v>0</v>
      </c>
      <c r="P32" s="31">
        <f t="shared" ref="P32:P41" si="27">$D17+2*N32</f>
        <v>0</v>
      </c>
      <c r="Q32" s="31" t="e">
        <f>O32/P32</f>
        <v>#DIV/0!</v>
      </c>
      <c r="R32" s="41" t="e">
        <f>1/$L32*O32*(Q32^(2/3))*((1/$G17)^0.5)</f>
        <v>#DIV/0!</v>
      </c>
      <c r="S32" s="41" t="e">
        <f>R32/O32</f>
        <v>#DIV/0!</v>
      </c>
      <c r="T32" s="41" t="e">
        <f>S32*K32</f>
        <v>#DIV/0!</v>
      </c>
    </row>
    <row r="33" spans="1:20" x14ac:dyDescent="0.35">
      <c r="A33" s="31">
        <f>VS_inputs!A63</f>
        <v>0</v>
      </c>
      <c r="B33" s="29">
        <f>VS_inputs!B63</f>
        <v>0</v>
      </c>
      <c r="C33" s="29">
        <f>VS_inputs!D63</f>
        <v>0</v>
      </c>
      <c r="D33" s="31">
        <f t="shared" si="19"/>
        <v>0</v>
      </c>
      <c r="E33" s="31">
        <f t="shared" si="20"/>
        <v>0</v>
      </c>
      <c r="F33" s="31">
        <f t="shared" si="21"/>
        <v>0</v>
      </c>
      <c r="G33" s="31">
        <f t="shared" si="22"/>
        <v>0</v>
      </c>
      <c r="H33" s="31" t="e">
        <f>F33/G33</f>
        <v>#DIV/0!</v>
      </c>
      <c r="I33" s="41" t="e">
        <f t="shared" si="23"/>
        <v>#DIV/0!</v>
      </c>
      <c r="J33" s="41" t="e">
        <f>I33/F33</f>
        <v>#DIV/0!</v>
      </c>
      <c r="K33" s="29">
        <f>VS_inputs!G63</f>
        <v>0</v>
      </c>
      <c r="L33" s="29">
        <f>VS_inputs!I63</f>
        <v>0</v>
      </c>
      <c r="M33" s="31">
        <f t="shared" si="24"/>
        <v>0</v>
      </c>
      <c r="N33" s="31">
        <f t="shared" si="25"/>
        <v>0</v>
      </c>
      <c r="O33" s="31">
        <f t="shared" si="26"/>
        <v>0</v>
      </c>
      <c r="P33" s="31">
        <f t="shared" si="27"/>
        <v>0</v>
      </c>
      <c r="Q33" s="31" t="e">
        <f>O33/P33</f>
        <v>#DIV/0!</v>
      </c>
      <c r="R33" s="41" t="e">
        <f t="shared" ref="R33:R41" si="28">1/$L33*O33*(Q33^(2/3))*((1/$G18)^0.5)</f>
        <v>#DIV/0!</v>
      </c>
      <c r="S33" s="41" t="e">
        <f>R33/O33</f>
        <v>#DIV/0!</v>
      </c>
      <c r="T33" s="41" t="e">
        <f>S33*K33</f>
        <v>#DIV/0!</v>
      </c>
    </row>
    <row r="34" spans="1:20" x14ac:dyDescent="0.35">
      <c r="A34" s="31">
        <f>VS_inputs!A64</f>
        <v>0</v>
      </c>
      <c r="B34" s="29">
        <f>VS_inputs!B64</f>
        <v>0</v>
      </c>
      <c r="C34" s="29">
        <f>VS_inputs!D64</f>
        <v>0</v>
      </c>
      <c r="D34" s="31">
        <f t="shared" si="19"/>
        <v>0</v>
      </c>
      <c r="E34" s="31">
        <f t="shared" si="20"/>
        <v>0</v>
      </c>
      <c r="F34" s="31">
        <f t="shared" si="21"/>
        <v>0</v>
      </c>
      <c r="G34" s="31">
        <f t="shared" si="22"/>
        <v>0</v>
      </c>
      <c r="H34" s="31" t="e">
        <f t="shared" ref="H34:H41" si="29">F34/G34</f>
        <v>#DIV/0!</v>
      </c>
      <c r="I34" s="41" t="e">
        <f t="shared" si="23"/>
        <v>#DIV/0!</v>
      </c>
      <c r="J34" s="41" t="e">
        <f t="shared" ref="J34:J41" si="30">I34/F34</f>
        <v>#DIV/0!</v>
      </c>
      <c r="K34" s="29">
        <f>VS_inputs!G64</f>
        <v>0</v>
      </c>
      <c r="L34" s="29">
        <f>VS_inputs!I64</f>
        <v>0</v>
      </c>
      <c r="M34" s="31">
        <f t="shared" si="24"/>
        <v>0</v>
      </c>
      <c r="N34" s="31">
        <f t="shared" si="25"/>
        <v>0</v>
      </c>
      <c r="O34" s="31">
        <f t="shared" si="26"/>
        <v>0</v>
      </c>
      <c r="P34" s="31">
        <f t="shared" si="27"/>
        <v>0</v>
      </c>
      <c r="Q34" s="31" t="e">
        <f t="shared" ref="Q34:Q41" si="31">O34/P34</f>
        <v>#DIV/0!</v>
      </c>
      <c r="R34" s="41" t="e">
        <f t="shared" si="28"/>
        <v>#DIV/0!</v>
      </c>
      <c r="S34" s="41" t="e">
        <f t="shared" ref="S34:S41" si="32">R34/O34</f>
        <v>#DIV/0!</v>
      </c>
      <c r="T34" s="41" t="e">
        <f t="shared" ref="T34:T41" si="33">S34*K34</f>
        <v>#DIV/0!</v>
      </c>
    </row>
    <row r="35" spans="1:20" x14ac:dyDescent="0.35">
      <c r="A35" s="31">
        <f>VS_inputs!A65</f>
        <v>0</v>
      </c>
      <c r="B35" s="29">
        <f>VS_inputs!B65</f>
        <v>0</v>
      </c>
      <c r="C35" s="29">
        <f>VS_inputs!D65</f>
        <v>0</v>
      </c>
      <c r="D35" s="31">
        <f t="shared" si="19"/>
        <v>0</v>
      </c>
      <c r="E35" s="31">
        <f t="shared" si="20"/>
        <v>0</v>
      </c>
      <c r="F35" s="31">
        <f t="shared" si="21"/>
        <v>0</v>
      </c>
      <c r="G35" s="31">
        <f t="shared" si="22"/>
        <v>0</v>
      </c>
      <c r="H35" s="31" t="e">
        <f t="shared" si="29"/>
        <v>#DIV/0!</v>
      </c>
      <c r="I35" s="41" t="e">
        <f t="shared" si="23"/>
        <v>#DIV/0!</v>
      </c>
      <c r="J35" s="41" t="e">
        <f t="shared" si="30"/>
        <v>#DIV/0!</v>
      </c>
      <c r="K35" s="29">
        <f>VS_inputs!G65</f>
        <v>0</v>
      </c>
      <c r="L35" s="29">
        <f>VS_inputs!I65</f>
        <v>0</v>
      </c>
      <c r="M35" s="31">
        <f t="shared" si="24"/>
        <v>0</v>
      </c>
      <c r="N35" s="31">
        <f t="shared" si="25"/>
        <v>0</v>
      </c>
      <c r="O35" s="31">
        <f t="shared" si="26"/>
        <v>0</v>
      </c>
      <c r="P35" s="31">
        <f t="shared" si="27"/>
        <v>0</v>
      </c>
      <c r="Q35" s="31" t="e">
        <f t="shared" si="31"/>
        <v>#DIV/0!</v>
      </c>
      <c r="R35" s="41" t="e">
        <f t="shared" si="28"/>
        <v>#DIV/0!</v>
      </c>
      <c r="S35" s="41" t="e">
        <f t="shared" si="32"/>
        <v>#DIV/0!</v>
      </c>
      <c r="T35" s="41" t="e">
        <f t="shared" si="33"/>
        <v>#DIV/0!</v>
      </c>
    </row>
    <row r="36" spans="1:20" x14ac:dyDescent="0.35">
      <c r="A36" s="31">
        <f>VS_inputs!A66</f>
        <v>0</v>
      </c>
      <c r="B36" s="29">
        <f>VS_inputs!B66</f>
        <v>0</v>
      </c>
      <c r="C36" s="29">
        <f>VS_inputs!D66</f>
        <v>0</v>
      </c>
      <c r="D36" s="31">
        <f t="shared" si="19"/>
        <v>0</v>
      </c>
      <c r="E36" s="31">
        <f t="shared" si="20"/>
        <v>0</v>
      </c>
      <c r="F36" s="31">
        <f t="shared" si="21"/>
        <v>0</v>
      </c>
      <c r="G36" s="31">
        <f t="shared" si="22"/>
        <v>0</v>
      </c>
      <c r="H36" s="31" t="e">
        <f t="shared" si="29"/>
        <v>#DIV/0!</v>
      </c>
      <c r="I36" s="41" t="e">
        <f t="shared" si="23"/>
        <v>#DIV/0!</v>
      </c>
      <c r="J36" s="41" t="e">
        <f t="shared" si="30"/>
        <v>#DIV/0!</v>
      </c>
      <c r="K36" s="29">
        <f>VS_inputs!G66</f>
        <v>0</v>
      </c>
      <c r="L36" s="29">
        <f>VS_inputs!I66</f>
        <v>0</v>
      </c>
      <c r="M36" s="31">
        <f t="shared" si="24"/>
        <v>0</v>
      </c>
      <c r="N36" s="31">
        <f t="shared" si="25"/>
        <v>0</v>
      </c>
      <c r="O36" s="31">
        <f t="shared" si="26"/>
        <v>0</v>
      </c>
      <c r="P36" s="31">
        <f t="shared" si="27"/>
        <v>0</v>
      </c>
      <c r="Q36" s="31" t="e">
        <f t="shared" si="31"/>
        <v>#DIV/0!</v>
      </c>
      <c r="R36" s="41" t="e">
        <f t="shared" si="28"/>
        <v>#DIV/0!</v>
      </c>
      <c r="S36" s="41" t="e">
        <f t="shared" si="32"/>
        <v>#DIV/0!</v>
      </c>
      <c r="T36" s="41" t="e">
        <f t="shared" si="33"/>
        <v>#DIV/0!</v>
      </c>
    </row>
    <row r="37" spans="1:20" x14ac:dyDescent="0.35">
      <c r="A37" s="31">
        <f>VS_inputs!A67</f>
        <v>0</v>
      </c>
      <c r="B37" s="29">
        <f>VS_inputs!B67</f>
        <v>0</v>
      </c>
      <c r="C37" s="29">
        <f>VS_inputs!D67</f>
        <v>0</v>
      </c>
      <c r="D37" s="31">
        <f t="shared" si="19"/>
        <v>0</v>
      </c>
      <c r="E37" s="31">
        <f t="shared" si="20"/>
        <v>0</v>
      </c>
      <c r="F37" s="31">
        <f t="shared" si="21"/>
        <v>0</v>
      </c>
      <c r="G37" s="31">
        <f t="shared" si="22"/>
        <v>0</v>
      </c>
      <c r="H37" s="31" t="e">
        <f t="shared" si="29"/>
        <v>#DIV/0!</v>
      </c>
      <c r="I37" s="41" t="e">
        <f t="shared" si="23"/>
        <v>#DIV/0!</v>
      </c>
      <c r="J37" s="41" t="e">
        <f t="shared" si="30"/>
        <v>#DIV/0!</v>
      </c>
      <c r="K37" s="29">
        <f>VS_inputs!G67</f>
        <v>0</v>
      </c>
      <c r="L37" s="29">
        <f>VS_inputs!I67</f>
        <v>0</v>
      </c>
      <c r="M37" s="31">
        <f t="shared" si="24"/>
        <v>0</v>
      </c>
      <c r="N37" s="31">
        <f t="shared" si="25"/>
        <v>0</v>
      </c>
      <c r="O37" s="31">
        <f t="shared" si="26"/>
        <v>0</v>
      </c>
      <c r="P37" s="31">
        <f t="shared" si="27"/>
        <v>0</v>
      </c>
      <c r="Q37" s="31" t="e">
        <f t="shared" si="31"/>
        <v>#DIV/0!</v>
      </c>
      <c r="R37" s="41" t="e">
        <f t="shared" si="28"/>
        <v>#DIV/0!</v>
      </c>
      <c r="S37" s="41" t="e">
        <f t="shared" si="32"/>
        <v>#DIV/0!</v>
      </c>
      <c r="T37" s="41" t="e">
        <f t="shared" si="33"/>
        <v>#DIV/0!</v>
      </c>
    </row>
    <row r="38" spans="1:20" x14ac:dyDescent="0.35">
      <c r="A38" s="31">
        <f>VS_inputs!A68</f>
        <v>0</v>
      </c>
      <c r="B38" s="29">
        <f>VS_inputs!B68</f>
        <v>0</v>
      </c>
      <c r="C38" s="29">
        <f>VS_inputs!D68</f>
        <v>0</v>
      </c>
      <c r="D38" s="31">
        <f t="shared" si="19"/>
        <v>0</v>
      </c>
      <c r="E38" s="31">
        <f t="shared" si="20"/>
        <v>0</v>
      </c>
      <c r="F38" s="31">
        <f t="shared" si="21"/>
        <v>0</v>
      </c>
      <c r="G38" s="31">
        <f t="shared" si="22"/>
        <v>0</v>
      </c>
      <c r="H38" s="31" t="e">
        <f t="shared" si="29"/>
        <v>#DIV/0!</v>
      </c>
      <c r="I38" s="41" t="e">
        <f t="shared" si="23"/>
        <v>#DIV/0!</v>
      </c>
      <c r="J38" s="41" t="e">
        <f t="shared" si="30"/>
        <v>#DIV/0!</v>
      </c>
      <c r="K38" s="29">
        <f>VS_inputs!G68</f>
        <v>0</v>
      </c>
      <c r="L38" s="29">
        <f>VS_inputs!I68</f>
        <v>0</v>
      </c>
      <c r="M38" s="31">
        <f t="shared" si="24"/>
        <v>0</v>
      </c>
      <c r="N38" s="31">
        <f t="shared" si="25"/>
        <v>0</v>
      </c>
      <c r="O38" s="31">
        <f t="shared" si="26"/>
        <v>0</v>
      </c>
      <c r="P38" s="31">
        <f t="shared" si="27"/>
        <v>0</v>
      </c>
      <c r="Q38" s="31" t="e">
        <f t="shared" si="31"/>
        <v>#DIV/0!</v>
      </c>
      <c r="R38" s="41" t="e">
        <f t="shared" si="28"/>
        <v>#DIV/0!</v>
      </c>
      <c r="S38" s="41" t="e">
        <f t="shared" si="32"/>
        <v>#DIV/0!</v>
      </c>
      <c r="T38" s="41" t="e">
        <f t="shared" si="33"/>
        <v>#DIV/0!</v>
      </c>
    </row>
    <row r="39" spans="1:20" x14ac:dyDescent="0.35">
      <c r="A39" s="31">
        <f>VS_inputs!A69</f>
        <v>0</v>
      </c>
      <c r="B39" s="29">
        <f>VS_inputs!B69</f>
        <v>0</v>
      </c>
      <c r="C39" s="29">
        <f>VS_inputs!D69</f>
        <v>0</v>
      </c>
      <c r="D39" s="31">
        <f t="shared" si="19"/>
        <v>0</v>
      </c>
      <c r="E39" s="31">
        <f t="shared" si="20"/>
        <v>0</v>
      </c>
      <c r="F39" s="31">
        <f t="shared" si="21"/>
        <v>0</v>
      </c>
      <c r="G39" s="31">
        <f t="shared" si="22"/>
        <v>0</v>
      </c>
      <c r="H39" s="31" t="e">
        <f t="shared" si="29"/>
        <v>#DIV/0!</v>
      </c>
      <c r="I39" s="41" t="e">
        <f t="shared" si="23"/>
        <v>#DIV/0!</v>
      </c>
      <c r="J39" s="41" t="e">
        <f t="shared" si="30"/>
        <v>#DIV/0!</v>
      </c>
      <c r="K39" s="29">
        <f>VS_inputs!G69</f>
        <v>0</v>
      </c>
      <c r="L39" s="29">
        <f>VS_inputs!I69</f>
        <v>0</v>
      </c>
      <c r="M39" s="31">
        <f t="shared" si="24"/>
        <v>0</v>
      </c>
      <c r="N39" s="31">
        <f t="shared" si="25"/>
        <v>0</v>
      </c>
      <c r="O39" s="31">
        <f t="shared" si="26"/>
        <v>0</v>
      </c>
      <c r="P39" s="31">
        <f t="shared" si="27"/>
        <v>0</v>
      </c>
      <c r="Q39" s="31" t="e">
        <f t="shared" si="31"/>
        <v>#DIV/0!</v>
      </c>
      <c r="R39" s="41" t="e">
        <f t="shared" si="28"/>
        <v>#DIV/0!</v>
      </c>
      <c r="S39" s="41" t="e">
        <f t="shared" si="32"/>
        <v>#DIV/0!</v>
      </c>
      <c r="T39" s="41" t="e">
        <f t="shared" si="33"/>
        <v>#DIV/0!</v>
      </c>
    </row>
    <row r="40" spans="1:20" x14ac:dyDescent="0.35">
      <c r="A40" s="31">
        <f>VS_inputs!A70</f>
        <v>0</v>
      </c>
      <c r="B40" s="29">
        <f>VS_inputs!B70</f>
        <v>0</v>
      </c>
      <c r="C40" s="29">
        <f>VS_inputs!D70</f>
        <v>0</v>
      </c>
      <c r="D40" s="31">
        <f t="shared" si="19"/>
        <v>0</v>
      </c>
      <c r="E40" s="31">
        <f t="shared" si="20"/>
        <v>0</v>
      </c>
      <c r="F40" s="31">
        <f t="shared" si="21"/>
        <v>0</v>
      </c>
      <c r="G40" s="31">
        <f t="shared" si="22"/>
        <v>0</v>
      </c>
      <c r="H40" s="31" t="e">
        <f t="shared" si="29"/>
        <v>#DIV/0!</v>
      </c>
      <c r="I40" s="41" t="e">
        <f t="shared" si="23"/>
        <v>#DIV/0!</v>
      </c>
      <c r="J40" s="41" t="e">
        <f t="shared" si="30"/>
        <v>#DIV/0!</v>
      </c>
      <c r="K40" s="29">
        <f>VS_inputs!G70</f>
        <v>0</v>
      </c>
      <c r="L40" s="29">
        <f>VS_inputs!I70</f>
        <v>0</v>
      </c>
      <c r="M40" s="31">
        <f t="shared" si="24"/>
        <v>0</v>
      </c>
      <c r="N40" s="31">
        <f t="shared" si="25"/>
        <v>0</v>
      </c>
      <c r="O40" s="31">
        <f t="shared" si="26"/>
        <v>0</v>
      </c>
      <c r="P40" s="31">
        <f t="shared" si="27"/>
        <v>0</v>
      </c>
      <c r="Q40" s="31" t="e">
        <f t="shared" si="31"/>
        <v>#DIV/0!</v>
      </c>
      <c r="R40" s="41" t="e">
        <f t="shared" si="28"/>
        <v>#DIV/0!</v>
      </c>
      <c r="S40" s="41" t="e">
        <f t="shared" si="32"/>
        <v>#DIV/0!</v>
      </c>
      <c r="T40" s="41" t="e">
        <f t="shared" si="33"/>
        <v>#DIV/0!</v>
      </c>
    </row>
    <row r="41" spans="1:20" x14ac:dyDescent="0.35">
      <c r="A41" s="31">
        <f>VS_inputs!A71</f>
        <v>0</v>
      </c>
      <c r="B41" s="29">
        <f>VS_inputs!B71</f>
        <v>0</v>
      </c>
      <c r="C41" s="29">
        <f>VS_inputs!D71</f>
        <v>0</v>
      </c>
      <c r="D41" s="31">
        <f t="shared" si="19"/>
        <v>0</v>
      </c>
      <c r="E41" s="31">
        <f t="shared" si="20"/>
        <v>0</v>
      </c>
      <c r="F41" s="31">
        <f t="shared" si="21"/>
        <v>0</v>
      </c>
      <c r="G41" s="31">
        <f t="shared" si="22"/>
        <v>0</v>
      </c>
      <c r="H41" s="31" t="e">
        <f t="shared" si="29"/>
        <v>#DIV/0!</v>
      </c>
      <c r="I41" s="41" t="e">
        <f t="shared" si="23"/>
        <v>#DIV/0!</v>
      </c>
      <c r="J41" s="41" t="e">
        <f t="shared" si="30"/>
        <v>#DIV/0!</v>
      </c>
      <c r="K41" s="29">
        <f>VS_inputs!G71</f>
        <v>0</v>
      </c>
      <c r="L41" s="29">
        <f>VS_inputs!I71</f>
        <v>0</v>
      </c>
      <c r="M41" s="31">
        <f t="shared" si="24"/>
        <v>0</v>
      </c>
      <c r="N41" s="31">
        <f t="shared" si="25"/>
        <v>0</v>
      </c>
      <c r="O41" s="31">
        <f t="shared" si="26"/>
        <v>0</v>
      </c>
      <c r="P41" s="31">
        <f t="shared" si="27"/>
        <v>0</v>
      </c>
      <c r="Q41" s="31" t="e">
        <f t="shared" si="31"/>
        <v>#DIV/0!</v>
      </c>
      <c r="R41" s="41" t="e">
        <f t="shared" si="28"/>
        <v>#DIV/0!</v>
      </c>
      <c r="S41" s="41" t="e">
        <f t="shared" si="32"/>
        <v>#DIV/0!</v>
      </c>
      <c r="T41" s="41" t="e">
        <f t="shared" si="33"/>
        <v>#DIV/0!</v>
      </c>
    </row>
    <row r="45" spans="1:20" x14ac:dyDescent="0.35">
      <c r="B45" s="224" t="s">
        <v>82</v>
      </c>
      <c r="C45" s="225"/>
      <c r="D45" s="225"/>
      <c r="E45" s="225"/>
      <c r="F45" s="225"/>
      <c r="G45" s="225"/>
      <c r="H45" s="225"/>
      <c r="I45" s="226"/>
      <c r="J45" s="224" t="s">
        <v>156</v>
      </c>
      <c r="K45" s="225"/>
      <c r="L45" s="226"/>
      <c r="M45" s="223" t="s">
        <v>157</v>
      </c>
      <c r="N45" s="223"/>
      <c r="O45" s="223"/>
      <c r="P45" s="82"/>
      <c r="Q45" s="87"/>
    </row>
    <row r="46" spans="1:20" ht="97.5" x14ac:dyDescent="0.4">
      <c r="A46" s="32" t="s">
        <v>33</v>
      </c>
      <c r="B46" s="35" t="s">
        <v>75</v>
      </c>
      <c r="C46" s="35" t="s">
        <v>30</v>
      </c>
      <c r="D46" s="35" t="s">
        <v>76</v>
      </c>
      <c r="E46" s="35" t="s">
        <v>77</v>
      </c>
      <c r="F46" s="35" t="s">
        <v>78</v>
      </c>
      <c r="G46" s="35" t="s">
        <v>79</v>
      </c>
      <c r="H46" s="35" t="s">
        <v>81</v>
      </c>
      <c r="I46" s="36" t="s">
        <v>16</v>
      </c>
      <c r="J46" s="35" t="s">
        <v>80</v>
      </c>
      <c r="K46" s="36" t="s">
        <v>8</v>
      </c>
      <c r="L46" s="35" t="s">
        <v>13</v>
      </c>
      <c r="M46" s="35" t="s">
        <v>15</v>
      </c>
      <c r="N46" s="35" t="s">
        <v>11</v>
      </c>
      <c r="O46" s="88" t="s">
        <v>14</v>
      </c>
      <c r="P46" s="90"/>
      <c r="Q46" s="32" t="s">
        <v>101</v>
      </c>
    </row>
    <row r="47" spans="1:20" x14ac:dyDescent="0.35">
      <c r="A47" s="31">
        <f>VS_inputs!A78</f>
        <v>0</v>
      </c>
      <c r="B47" s="29">
        <f>VS_inputs!B78</f>
        <v>0</v>
      </c>
      <c r="C47" s="29" t="str">
        <f>VS_inputs!C78</f>
        <v>Select</v>
      </c>
      <c r="D47" s="29">
        <f>VS_inputs!D78</f>
        <v>0</v>
      </c>
      <c r="E47" s="29">
        <f>VS_inputs!E78</f>
        <v>0</v>
      </c>
      <c r="F47" s="29">
        <f>VS_inputs!F78</f>
        <v>0</v>
      </c>
      <c r="G47" s="29">
        <f>VS_inputs!G78</f>
        <v>0</v>
      </c>
      <c r="H47" s="29">
        <f>VS_inputs!H78</f>
        <v>0</v>
      </c>
      <c r="I47" s="29">
        <f>VS_inputs!I78</f>
        <v>0</v>
      </c>
      <c r="J47" s="56">
        <f t="shared" ref="J47:J56" si="34">IF(C47="Rectangular sump",(D47+E47)*2*B47,IF(C47="Circular sump",F47*PI()*B47,G47*B47))</f>
        <v>0</v>
      </c>
      <c r="K47" s="29">
        <f>VS_inputs!K78</f>
        <v>0</v>
      </c>
      <c r="L47" s="4">
        <f t="shared" ref="L47:L56" si="35">H47*K47*J47*(I47^1.5)</f>
        <v>0</v>
      </c>
      <c r="M47" s="56" t="str">
        <f t="shared" ref="M47:M56" si="36">IF(C47="Rectangular sump",B47*D47*E47,IF(C47="Circular sump",B47*PI()*(F47/2)^2,"Not applicable"))</f>
        <v>Not applicable</v>
      </c>
      <c r="N47" s="29">
        <f>VS_inputs!O78</f>
        <v>0</v>
      </c>
      <c r="O47" s="89" t="e">
        <f>M47*H47*N47*SQRT(2*9.81*I47)</f>
        <v>#VALUE!</v>
      </c>
      <c r="P47" s="86"/>
      <c r="Q47" s="29">
        <f>VS_inputs!O96</f>
        <v>0</v>
      </c>
    </row>
    <row r="48" spans="1:20" x14ac:dyDescent="0.35">
      <c r="A48" s="31">
        <f>VS_inputs!A79</f>
        <v>0</v>
      </c>
      <c r="B48" s="29">
        <f>VS_inputs!B79</f>
        <v>0</v>
      </c>
      <c r="C48" s="29" t="str">
        <f>VS_inputs!C79</f>
        <v>Select</v>
      </c>
      <c r="D48" s="29">
        <f>VS_inputs!D79</f>
        <v>0</v>
      </c>
      <c r="E48" s="29">
        <f>VS_inputs!E79</f>
        <v>0</v>
      </c>
      <c r="F48" s="29">
        <f>VS_inputs!F79</f>
        <v>0</v>
      </c>
      <c r="G48" s="29">
        <f>VS_inputs!G79</f>
        <v>0</v>
      </c>
      <c r="H48" s="29">
        <f>VS_inputs!H79</f>
        <v>0</v>
      </c>
      <c r="I48" s="29">
        <f t="shared" ref="I48:I56" si="37">$B33</f>
        <v>0</v>
      </c>
      <c r="J48" s="56">
        <f t="shared" si="34"/>
        <v>0</v>
      </c>
      <c r="K48" s="29">
        <f>VS_inputs!K79</f>
        <v>0</v>
      </c>
      <c r="L48" s="4">
        <f t="shared" si="35"/>
        <v>0</v>
      </c>
      <c r="M48" s="56" t="str">
        <f t="shared" si="36"/>
        <v>Not applicable</v>
      </c>
      <c r="N48" s="29">
        <f>VS_inputs!O79</f>
        <v>0</v>
      </c>
      <c r="O48" s="89" t="e">
        <f t="shared" ref="O48:O56" si="38">M48*H48*N48*SQRT(2*9.81*I48)</f>
        <v>#VALUE!</v>
      </c>
      <c r="P48" s="86"/>
      <c r="Q48" s="29">
        <f>VS_inputs!O97</f>
        <v>0</v>
      </c>
    </row>
    <row r="49" spans="1:17" x14ac:dyDescent="0.35">
      <c r="A49" s="31">
        <f>VS_inputs!A80</f>
        <v>0</v>
      </c>
      <c r="B49" s="29">
        <f>VS_inputs!B80</f>
        <v>0</v>
      </c>
      <c r="C49" s="29" t="str">
        <f>VS_inputs!C80</f>
        <v>Select</v>
      </c>
      <c r="D49" s="29">
        <f>VS_inputs!D80</f>
        <v>0</v>
      </c>
      <c r="E49" s="29">
        <f>VS_inputs!E80</f>
        <v>0</v>
      </c>
      <c r="F49" s="29">
        <f>VS_inputs!F80</f>
        <v>0</v>
      </c>
      <c r="G49" s="29">
        <f>VS_inputs!G80</f>
        <v>0</v>
      </c>
      <c r="H49" s="29">
        <f>VS_inputs!H80</f>
        <v>0</v>
      </c>
      <c r="I49" s="29">
        <f t="shared" si="37"/>
        <v>0</v>
      </c>
      <c r="J49" s="56">
        <f t="shared" si="34"/>
        <v>0</v>
      </c>
      <c r="K49" s="29">
        <f>VS_inputs!K80</f>
        <v>0</v>
      </c>
      <c r="L49" s="4">
        <f t="shared" si="35"/>
        <v>0</v>
      </c>
      <c r="M49" s="56" t="str">
        <f t="shared" si="36"/>
        <v>Not applicable</v>
      </c>
      <c r="N49" s="29">
        <f>VS_inputs!O80</f>
        <v>0</v>
      </c>
      <c r="O49" s="89" t="e">
        <f t="shared" si="38"/>
        <v>#VALUE!</v>
      </c>
      <c r="P49" s="86"/>
      <c r="Q49" s="29">
        <f>VS_inputs!O98</f>
        <v>0</v>
      </c>
    </row>
    <row r="50" spans="1:17" x14ac:dyDescent="0.35">
      <c r="A50" s="31">
        <f>VS_inputs!A81</f>
        <v>0</v>
      </c>
      <c r="B50" s="29">
        <f>VS_inputs!B81</f>
        <v>0</v>
      </c>
      <c r="C50" s="29" t="str">
        <f>VS_inputs!C81</f>
        <v>Select</v>
      </c>
      <c r="D50" s="29">
        <f>VS_inputs!D81</f>
        <v>0</v>
      </c>
      <c r="E50" s="29">
        <f>VS_inputs!E81</f>
        <v>0</v>
      </c>
      <c r="F50" s="29">
        <f>VS_inputs!F81</f>
        <v>0</v>
      </c>
      <c r="G50" s="29">
        <f>VS_inputs!G81</f>
        <v>0</v>
      </c>
      <c r="H50" s="29">
        <f>VS_inputs!H81</f>
        <v>0</v>
      </c>
      <c r="I50" s="29">
        <f t="shared" si="37"/>
        <v>0</v>
      </c>
      <c r="J50" s="56">
        <f t="shared" si="34"/>
        <v>0</v>
      </c>
      <c r="K50" s="29">
        <f>VS_inputs!K81</f>
        <v>0</v>
      </c>
      <c r="L50" s="4">
        <f t="shared" si="35"/>
        <v>0</v>
      </c>
      <c r="M50" s="56" t="str">
        <f t="shared" si="36"/>
        <v>Not applicable</v>
      </c>
      <c r="N50" s="29">
        <f>VS_inputs!O81</f>
        <v>0</v>
      </c>
      <c r="O50" s="89" t="e">
        <f t="shared" si="38"/>
        <v>#VALUE!</v>
      </c>
      <c r="P50" s="86"/>
      <c r="Q50" s="29">
        <f>VS_inputs!O99</f>
        <v>0</v>
      </c>
    </row>
    <row r="51" spans="1:17" x14ac:dyDescent="0.35">
      <c r="A51" s="31">
        <f>VS_inputs!A82</f>
        <v>0</v>
      </c>
      <c r="B51" s="29">
        <f>VS_inputs!B82</f>
        <v>0</v>
      </c>
      <c r="C51" s="29" t="str">
        <f>VS_inputs!C82</f>
        <v>Select</v>
      </c>
      <c r="D51" s="29">
        <f>VS_inputs!D82</f>
        <v>0</v>
      </c>
      <c r="E51" s="29">
        <f>VS_inputs!E82</f>
        <v>0</v>
      </c>
      <c r="F51" s="29">
        <f>VS_inputs!F82</f>
        <v>0</v>
      </c>
      <c r="G51" s="29">
        <f>VS_inputs!G82</f>
        <v>0</v>
      </c>
      <c r="H51" s="29">
        <f>VS_inputs!H82</f>
        <v>0</v>
      </c>
      <c r="I51" s="29">
        <f t="shared" si="37"/>
        <v>0</v>
      </c>
      <c r="J51" s="56">
        <f t="shared" si="34"/>
        <v>0</v>
      </c>
      <c r="K51" s="29">
        <f>VS_inputs!K82</f>
        <v>0</v>
      </c>
      <c r="L51" s="4">
        <f t="shared" si="35"/>
        <v>0</v>
      </c>
      <c r="M51" s="56" t="str">
        <f t="shared" si="36"/>
        <v>Not applicable</v>
      </c>
      <c r="N51" s="29">
        <f>VS_inputs!O82</f>
        <v>0</v>
      </c>
      <c r="O51" s="89" t="e">
        <f t="shared" si="38"/>
        <v>#VALUE!</v>
      </c>
      <c r="P51" s="86"/>
      <c r="Q51" s="29">
        <f>VS_inputs!O100</f>
        <v>0</v>
      </c>
    </row>
    <row r="52" spans="1:17" x14ac:dyDescent="0.35">
      <c r="A52" s="31">
        <f>VS_inputs!A83</f>
        <v>0</v>
      </c>
      <c r="B52" s="29">
        <f>VS_inputs!B83</f>
        <v>0</v>
      </c>
      <c r="C52" s="29" t="str">
        <f>VS_inputs!C83</f>
        <v>Select</v>
      </c>
      <c r="D52" s="29">
        <f>VS_inputs!D83</f>
        <v>0</v>
      </c>
      <c r="E52" s="29">
        <f>VS_inputs!E83</f>
        <v>0</v>
      </c>
      <c r="F52" s="29">
        <f>VS_inputs!F83</f>
        <v>0</v>
      </c>
      <c r="G52" s="29">
        <f>VS_inputs!G83</f>
        <v>0</v>
      </c>
      <c r="H52" s="29">
        <f>VS_inputs!H83</f>
        <v>0</v>
      </c>
      <c r="I52" s="29">
        <f t="shared" si="37"/>
        <v>0</v>
      </c>
      <c r="J52" s="56">
        <f t="shared" si="34"/>
        <v>0</v>
      </c>
      <c r="K52" s="29">
        <f>VS_inputs!K83</f>
        <v>0</v>
      </c>
      <c r="L52" s="4">
        <f t="shared" si="35"/>
        <v>0</v>
      </c>
      <c r="M52" s="56" t="str">
        <f t="shared" si="36"/>
        <v>Not applicable</v>
      </c>
      <c r="N52" s="29">
        <f>VS_inputs!O83</f>
        <v>0</v>
      </c>
      <c r="O52" s="89" t="e">
        <f t="shared" si="38"/>
        <v>#VALUE!</v>
      </c>
      <c r="P52" s="86"/>
      <c r="Q52" s="29">
        <f>VS_inputs!O101</f>
        <v>0</v>
      </c>
    </row>
    <row r="53" spans="1:17" x14ac:dyDescent="0.35">
      <c r="A53" s="31">
        <f>VS_inputs!A84</f>
        <v>0</v>
      </c>
      <c r="B53" s="29">
        <f>VS_inputs!B84</f>
        <v>0</v>
      </c>
      <c r="C53" s="29" t="str">
        <f>VS_inputs!C84</f>
        <v>Select</v>
      </c>
      <c r="D53" s="29">
        <f>VS_inputs!D84</f>
        <v>0</v>
      </c>
      <c r="E53" s="29">
        <f>VS_inputs!E84</f>
        <v>0</v>
      </c>
      <c r="F53" s="29">
        <f>VS_inputs!F84</f>
        <v>0</v>
      </c>
      <c r="G53" s="29">
        <f>VS_inputs!G84</f>
        <v>0</v>
      </c>
      <c r="H53" s="29">
        <f>VS_inputs!H84</f>
        <v>0</v>
      </c>
      <c r="I53" s="29">
        <f t="shared" si="37"/>
        <v>0</v>
      </c>
      <c r="J53" s="56">
        <f t="shared" si="34"/>
        <v>0</v>
      </c>
      <c r="K53" s="29">
        <f>VS_inputs!K84</f>
        <v>0</v>
      </c>
      <c r="L53" s="4">
        <f t="shared" si="35"/>
        <v>0</v>
      </c>
      <c r="M53" s="56" t="str">
        <f t="shared" si="36"/>
        <v>Not applicable</v>
      </c>
      <c r="N53" s="29">
        <f>VS_inputs!O84</f>
        <v>0</v>
      </c>
      <c r="O53" s="89" t="e">
        <f t="shared" si="38"/>
        <v>#VALUE!</v>
      </c>
      <c r="P53" s="86"/>
      <c r="Q53" s="29">
        <f>VS_inputs!O102</f>
        <v>0</v>
      </c>
    </row>
    <row r="54" spans="1:17" x14ac:dyDescent="0.35">
      <c r="A54" s="31">
        <f>VS_inputs!A85</f>
        <v>0</v>
      </c>
      <c r="B54" s="29">
        <f>VS_inputs!B85</f>
        <v>0</v>
      </c>
      <c r="C54" s="29" t="str">
        <f>VS_inputs!C85</f>
        <v>Select</v>
      </c>
      <c r="D54" s="29">
        <f>VS_inputs!D85</f>
        <v>0</v>
      </c>
      <c r="E54" s="29">
        <f>VS_inputs!E85</f>
        <v>0</v>
      </c>
      <c r="F54" s="29">
        <f>VS_inputs!F85</f>
        <v>0</v>
      </c>
      <c r="G54" s="29">
        <f>VS_inputs!G85</f>
        <v>0</v>
      </c>
      <c r="H54" s="29">
        <f>VS_inputs!H85</f>
        <v>0</v>
      </c>
      <c r="I54" s="29">
        <f t="shared" si="37"/>
        <v>0</v>
      </c>
      <c r="J54" s="56">
        <f t="shared" si="34"/>
        <v>0</v>
      </c>
      <c r="K54" s="29">
        <f>VS_inputs!K85</f>
        <v>0</v>
      </c>
      <c r="L54" s="4">
        <f t="shared" si="35"/>
        <v>0</v>
      </c>
      <c r="M54" s="56" t="str">
        <f t="shared" si="36"/>
        <v>Not applicable</v>
      </c>
      <c r="N54" s="29">
        <f>VS_inputs!O85</f>
        <v>0</v>
      </c>
      <c r="O54" s="89" t="e">
        <f t="shared" si="38"/>
        <v>#VALUE!</v>
      </c>
      <c r="P54" s="86"/>
      <c r="Q54" s="29">
        <f>VS_inputs!O103</f>
        <v>0</v>
      </c>
    </row>
    <row r="55" spans="1:17" x14ac:dyDescent="0.35">
      <c r="A55" s="31">
        <f>VS_inputs!A86</f>
        <v>0</v>
      </c>
      <c r="B55" s="29">
        <f>VS_inputs!B86</f>
        <v>0</v>
      </c>
      <c r="C55" s="29" t="str">
        <f>VS_inputs!C86</f>
        <v>Select</v>
      </c>
      <c r="D55" s="29">
        <f>VS_inputs!D86</f>
        <v>0</v>
      </c>
      <c r="E55" s="29">
        <f>VS_inputs!E86</f>
        <v>0</v>
      </c>
      <c r="F55" s="29">
        <f>VS_inputs!F86</f>
        <v>0</v>
      </c>
      <c r="G55" s="29">
        <f>VS_inputs!G86</f>
        <v>0</v>
      </c>
      <c r="H55" s="29">
        <f>VS_inputs!H86</f>
        <v>0</v>
      </c>
      <c r="I55" s="29">
        <f t="shared" si="37"/>
        <v>0</v>
      </c>
      <c r="J55" s="56">
        <f t="shared" si="34"/>
        <v>0</v>
      </c>
      <c r="K55" s="29">
        <f>VS_inputs!K86</f>
        <v>0</v>
      </c>
      <c r="L55" s="4">
        <f t="shared" si="35"/>
        <v>0</v>
      </c>
      <c r="M55" s="56" t="str">
        <f t="shared" si="36"/>
        <v>Not applicable</v>
      </c>
      <c r="N55" s="29">
        <f>VS_inputs!O86</f>
        <v>0</v>
      </c>
      <c r="O55" s="89" t="e">
        <f t="shared" si="38"/>
        <v>#VALUE!</v>
      </c>
      <c r="P55" s="86"/>
      <c r="Q55" s="29">
        <f>VS_inputs!O104</f>
        <v>0</v>
      </c>
    </row>
    <row r="56" spans="1:17" x14ac:dyDescent="0.35">
      <c r="A56" s="31">
        <f>VS_inputs!A87</f>
        <v>0</v>
      </c>
      <c r="B56" s="29">
        <f>VS_inputs!B87</f>
        <v>0</v>
      </c>
      <c r="C56" s="29" t="str">
        <f>VS_inputs!C87</f>
        <v>Select</v>
      </c>
      <c r="D56" s="29">
        <f>VS_inputs!D87</f>
        <v>0</v>
      </c>
      <c r="E56" s="29">
        <f>VS_inputs!E87</f>
        <v>0</v>
      </c>
      <c r="F56" s="29">
        <f>VS_inputs!F87</f>
        <v>0</v>
      </c>
      <c r="G56" s="29">
        <f>VS_inputs!G87</f>
        <v>0</v>
      </c>
      <c r="H56" s="29">
        <f>VS_inputs!H87</f>
        <v>0</v>
      </c>
      <c r="I56" s="29">
        <f t="shared" si="37"/>
        <v>0</v>
      </c>
      <c r="J56" s="56">
        <f t="shared" si="34"/>
        <v>0</v>
      </c>
      <c r="K56" s="29">
        <f>VS_inputs!K87</f>
        <v>0</v>
      </c>
      <c r="L56" s="4">
        <f t="shared" si="35"/>
        <v>0</v>
      </c>
      <c r="M56" s="56" t="str">
        <f t="shared" si="36"/>
        <v>Not applicable</v>
      </c>
      <c r="N56" s="29">
        <f>VS_inputs!O87</f>
        <v>0</v>
      </c>
      <c r="O56" s="89" t="e">
        <f t="shared" si="38"/>
        <v>#VALUE!</v>
      </c>
      <c r="P56" s="86"/>
      <c r="Q56" s="29">
        <f>VS_inputs!O105</f>
        <v>0</v>
      </c>
    </row>
  </sheetData>
  <mergeCells count="9">
    <mergeCell ref="B1:H1"/>
    <mergeCell ref="I1:N1"/>
    <mergeCell ref="B30:J30"/>
    <mergeCell ref="K30:T30"/>
    <mergeCell ref="M45:O45"/>
    <mergeCell ref="J45:L45"/>
    <mergeCell ref="B45:I45"/>
    <mergeCell ref="Q15:S15"/>
    <mergeCell ref="B15:P15"/>
  </mergeCells>
  <phoneticPr fontId="2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9391-C281-4CBE-B324-3F643785A072}">
  <dimension ref="A1:Y14"/>
  <sheetViews>
    <sheetView zoomScaleNormal="100" workbookViewId="0">
      <pane xSplit="1" ySplit="3" topLeftCell="B4" activePane="bottomRight" state="frozen"/>
      <selection activeCell="P53" sqref="P53"/>
      <selection pane="topRight" activeCell="P53" sqref="P53"/>
      <selection pane="bottomLeft" activeCell="P53" sqref="P53"/>
      <selection pane="bottomRight" activeCell="P53" sqref="P53"/>
    </sheetView>
  </sheetViews>
  <sheetFormatPr defaultRowHeight="14.5" x14ac:dyDescent="0.35"/>
  <cols>
    <col min="1" max="1" width="13" customWidth="1"/>
    <col min="2" max="2" width="9.7265625" bestFit="1" customWidth="1"/>
    <col min="4" max="5" width="9.7265625" bestFit="1" customWidth="1"/>
    <col min="6" max="6" width="12.26953125" bestFit="1" customWidth="1"/>
    <col min="9" max="9" width="11.7265625" bestFit="1" customWidth="1"/>
    <col min="10" max="10" width="11" bestFit="1" customWidth="1"/>
    <col min="11" max="11" width="9.7265625" customWidth="1"/>
    <col min="13" max="13" width="9.1796875" customWidth="1"/>
    <col min="14" max="14" width="10" bestFit="1" customWidth="1"/>
    <col min="18" max="18" width="11" bestFit="1" customWidth="1"/>
    <col min="19" max="19" width="11.26953125" customWidth="1"/>
    <col min="20" max="21" width="10.81640625" bestFit="1" customWidth="1"/>
    <col min="22" max="23" width="11.1796875" customWidth="1"/>
    <col min="25" max="25" width="20.453125" customWidth="1"/>
  </cols>
  <sheetData>
    <row r="1" spans="1:25" s="1" customFormat="1" ht="15.5" x14ac:dyDescent="0.35">
      <c r="A1" s="31"/>
      <c r="B1" s="237" t="s">
        <v>48</v>
      </c>
      <c r="C1" s="238"/>
      <c r="D1" s="238"/>
      <c r="E1" s="239"/>
      <c r="F1" s="57" t="s">
        <v>106</v>
      </c>
      <c r="G1" s="228" t="s">
        <v>90</v>
      </c>
      <c r="H1" s="229"/>
      <c r="I1" s="229"/>
      <c r="J1" s="229"/>
      <c r="K1" s="230"/>
      <c r="L1" s="244" t="s">
        <v>89</v>
      </c>
      <c r="M1" s="245"/>
      <c r="N1" s="245"/>
      <c r="O1" s="245"/>
      <c r="P1" s="246"/>
      <c r="Q1" s="224" t="s">
        <v>9</v>
      </c>
      <c r="R1" s="225"/>
      <c r="S1" s="226"/>
      <c r="T1" s="224" t="s">
        <v>10</v>
      </c>
      <c r="U1" s="225"/>
      <c r="V1" s="226"/>
      <c r="W1" s="31"/>
      <c r="X1" s="31"/>
    </row>
    <row r="2" spans="1:25" s="49" customFormat="1" ht="81.5" x14ac:dyDescent="0.35">
      <c r="A2" s="231" t="s">
        <v>33</v>
      </c>
      <c r="B2" s="33" t="s">
        <v>38</v>
      </c>
      <c r="C2" s="33" t="s">
        <v>43</v>
      </c>
      <c r="D2" s="33" t="s">
        <v>96</v>
      </c>
      <c r="E2" s="33" t="s">
        <v>97</v>
      </c>
      <c r="F2" s="53" t="s">
        <v>110</v>
      </c>
      <c r="G2" s="39" t="s">
        <v>52</v>
      </c>
      <c r="H2" s="39" t="s">
        <v>53</v>
      </c>
      <c r="I2" s="46" t="s">
        <v>55</v>
      </c>
      <c r="J2" s="235" t="s">
        <v>61</v>
      </c>
      <c r="K2" s="236"/>
      <c r="L2" s="233" t="s">
        <v>5</v>
      </c>
      <c r="M2" s="234"/>
      <c r="N2" s="233" t="s">
        <v>6</v>
      </c>
      <c r="O2" s="234"/>
      <c r="P2" s="47" t="s">
        <v>7</v>
      </c>
      <c r="Q2" s="48" t="s">
        <v>80</v>
      </c>
      <c r="R2" s="242" t="s">
        <v>13</v>
      </c>
      <c r="S2" s="243"/>
      <c r="T2" s="48" t="s">
        <v>15</v>
      </c>
      <c r="U2" s="242" t="s">
        <v>14</v>
      </c>
      <c r="V2" s="243"/>
      <c r="W2" s="240" t="s">
        <v>101</v>
      </c>
      <c r="X2" s="241"/>
    </row>
    <row r="3" spans="1:25" s="49" customFormat="1" ht="21.75" customHeight="1" x14ac:dyDescent="0.35">
      <c r="A3" s="232"/>
      <c r="B3" s="45" t="s">
        <v>95</v>
      </c>
      <c r="C3" s="33" t="s">
        <v>85</v>
      </c>
      <c r="D3" s="33" t="s">
        <v>95</v>
      </c>
      <c r="E3" s="33" t="s">
        <v>95</v>
      </c>
      <c r="F3" s="53" t="s">
        <v>84</v>
      </c>
      <c r="G3" s="39" t="s">
        <v>86</v>
      </c>
      <c r="H3" s="39" t="s">
        <v>87</v>
      </c>
      <c r="I3" s="46" t="s">
        <v>88</v>
      </c>
      <c r="J3" s="46" t="s">
        <v>95</v>
      </c>
      <c r="K3" s="46" t="s">
        <v>93</v>
      </c>
      <c r="L3" s="47" t="s">
        <v>95</v>
      </c>
      <c r="M3" s="47" t="s">
        <v>91</v>
      </c>
      <c r="N3" s="47" t="s">
        <v>95</v>
      </c>
      <c r="O3" s="47" t="s">
        <v>92</v>
      </c>
      <c r="P3" s="47" t="s">
        <v>94</v>
      </c>
      <c r="Q3" s="48" t="s">
        <v>95</v>
      </c>
      <c r="R3" s="48" t="s">
        <v>95</v>
      </c>
      <c r="S3" s="48" t="s">
        <v>98</v>
      </c>
      <c r="T3" s="48" t="s">
        <v>95</v>
      </c>
      <c r="U3" s="48" t="s">
        <v>95</v>
      </c>
      <c r="V3" s="48" t="s">
        <v>99</v>
      </c>
      <c r="W3" s="44" t="s">
        <v>95</v>
      </c>
      <c r="X3" s="44" t="s">
        <v>102</v>
      </c>
      <c r="Y3" s="54" t="s">
        <v>100</v>
      </c>
    </row>
    <row r="4" spans="1:25" s="1" customFormat="1" ht="15.5" x14ac:dyDescent="0.35">
      <c r="A4" s="31">
        <f>VS_inputs!A32</f>
        <v>0</v>
      </c>
      <c r="B4" s="51" t="e">
        <f>(VS_inputs!G32-VS_backend!H3)/VS_backend!H3</f>
        <v>#DIV/0!</v>
      </c>
      <c r="C4" s="50" t="str">
        <f>IF(VS_inputs!H32=VS_backend!I3,"OK","NO")</f>
        <v>NO</v>
      </c>
      <c r="D4" s="51" t="e">
        <f>(VS_inputs!J32-VS_backend!L3)/VS_backend!L3</f>
        <v>#DIV/0!</v>
      </c>
      <c r="E4" s="51" t="e">
        <f>(VS_inputs!L32-VS_backend!N3)/VS_backend!N3</f>
        <v>#DIV/0!</v>
      </c>
      <c r="F4" s="50" t="e">
        <f>IF(VS_backend!S17&gt;3%,IF(VS_backend!S17&lt;5%,"OK","&gt;5%"),"&lt;3%")</f>
        <v>#DIV/0!</v>
      </c>
      <c r="G4" s="50" t="str">
        <f>IF(VS_backend!F17&lt;4,"STEEP","OK")</f>
        <v>STEEP</v>
      </c>
      <c r="H4" s="50" t="str">
        <f>IF(VS_backend!G17&lt;25,"STEEP",IF(VS_backend!G17&gt;100,"GENTLE","OK"))</f>
        <v>STEEP</v>
      </c>
      <c r="I4" s="50" t="str">
        <f>IF(VS_backend!I17&lt;90%,IF(VS_backend!J17&lt;0.25,"TOO LOW","OK"),"Check Fig")</f>
        <v>TOO LOW</v>
      </c>
      <c r="J4" s="51" t="e">
        <f>(VS_inputs!M47-VS_backend!P17)/VS_backend!P17</f>
        <v>#DIV/0!</v>
      </c>
      <c r="K4" s="50" t="e">
        <f>IF(VS_backend!P17&gt;=VS_backend!L3,"OK","NO")</f>
        <v>#DIV/0!</v>
      </c>
      <c r="L4" s="51" t="e">
        <f>(VS_inputs!E62-VS_backend!J32)/VS_backend!J32</f>
        <v>#DIV/0!</v>
      </c>
      <c r="M4" s="50" t="e">
        <f>IF(VS_backend!J32&lt;0.5,"OK","HIGH")</f>
        <v>#DIV/0!</v>
      </c>
      <c r="N4" s="51" t="e">
        <f>(VS_inputs!J62-VS_backend!S32)/VS_backend!S32</f>
        <v>#DIV/0!</v>
      </c>
      <c r="O4" s="50" t="e">
        <f>IF(VS_backend!S32&lt;=2,"OK","HIGH")</f>
        <v>#DIV/0!</v>
      </c>
      <c r="P4" s="50" t="e">
        <f>IF(VS_backend!T32&lt;=0.4,"OK","HIGH")</f>
        <v>#DIV/0!</v>
      </c>
      <c r="Q4" s="51" t="e">
        <f>(VS_inputs!J78-VS_backend!J47)/VS_backend!J47</f>
        <v>#DIV/0!</v>
      </c>
      <c r="R4" s="51" t="e">
        <f>(VS_inputs!L78-VS_backend!L47)/VS_backend!L47</f>
        <v>#DIV/0!</v>
      </c>
      <c r="S4" s="50" t="e">
        <f>IF(VS_backend!L47&gt;=VS_backend!L3,"OK","NO")</f>
        <v>#DIV/0!</v>
      </c>
      <c r="T4" s="51" t="e">
        <f>(VS_inputs!N78-VS_backend!M47)/VS_backend!M47</f>
        <v>#VALUE!</v>
      </c>
      <c r="U4" s="51" t="e">
        <f>(VS_inputs!P78-VS_backend!O47)/VS_backend!O47</f>
        <v>#VALUE!</v>
      </c>
      <c r="V4" s="50" t="e">
        <f>IF(VS_backend!O47&gt;=VS_backend!L3,"OK","NO")</f>
        <v>#VALUE!</v>
      </c>
      <c r="W4" s="51" t="e">
        <f>(VS_backend!Q47-VS_backend!L3)/VS_backend!L3</f>
        <v>#DIV/0!</v>
      </c>
      <c r="X4" s="50" t="e">
        <f>IF(VS_backend!Q47&gt;=VS_backend!L3,"OK","NO")</f>
        <v>#DIV/0!</v>
      </c>
    </row>
    <row r="5" spans="1:25" ht="15.5" x14ac:dyDescent="0.35">
      <c r="A5" s="31">
        <f>VS_inputs!A33</f>
        <v>0</v>
      </c>
      <c r="B5" s="51" t="e">
        <f>(VS_inputs!G33-VS_backend!H4)/VS_backend!H4</f>
        <v>#DIV/0!</v>
      </c>
      <c r="C5" s="50" t="str">
        <f>IF(VS_inputs!H33=VS_backend!I4,"OK","NO")</f>
        <v>NO</v>
      </c>
      <c r="D5" s="51" t="e">
        <f>(VS_inputs!J33-VS_backend!L4)/VS_backend!L4</f>
        <v>#DIV/0!</v>
      </c>
      <c r="E5" s="51" t="e">
        <f>(VS_inputs!L33-VS_backend!N4)/VS_backend!N4</f>
        <v>#DIV/0!</v>
      </c>
      <c r="F5" s="50" t="e">
        <f>IF(VS_backend!S18&gt;3%,IF(VS_backend!S18&lt;5%,"OK","CHECK"),"CHECK")</f>
        <v>#DIV/0!</v>
      </c>
      <c r="G5" s="50" t="str">
        <f>IF(VS_backend!F18&lt;4,"STEEP","OK")</f>
        <v>STEEP</v>
      </c>
      <c r="H5" s="50" t="str">
        <f>IF(VS_backend!G18&lt;25,"STEEP",IF(VS_backend!G18&gt;100,"GENTLE","OK"))</f>
        <v>STEEP</v>
      </c>
      <c r="I5" s="50" t="str">
        <f>IF(VS_backend!I18&lt;90%,IF(VS_backend!J18&lt;0.25,"TOO LOW","OK"),"Check Fig")</f>
        <v>TOO LOW</v>
      </c>
      <c r="J5" s="51" t="e">
        <f>(VS_inputs!M48-VS_backend!P18)/VS_backend!P18</f>
        <v>#DIV/0!</v>
      </c>
      <c r="K5" s="50" t="e">
        <f>IF(VS_backend!P18&gt;=VS_backend!L4,"OK","NO")</f>
        <v>#DIV/0!</v>
      </c>
      <c r="L5" s="51" t="e">
        <f>(VS_inputs!E63-VS_backend!J33)/VS_backend!J33</f>
        <v>#DIV/0!</v>
      </c>
      <c r="M5" s="50" t="e">
        <f>IF(VS_backend!J33&lt;0.5,"OK","HIGH")</f>
        <v>#DIV/0!</v>
      </c>
      <c r="N5" s="51" t="e">
        <f>(VS_inputs!J63-VS_backend!S33)/VS_backend!S33</f>
        <v>#DIV/0!</v>
      </c>
      <c r="O5" s="50" t="e">
        <f>IF(VS_backend!S33&lt;=2,"OK","HIGH")</f>
        <v>#DIV/0!</v>
      </c>
      <c r="P5" s="50" t="e">
        <f>IF(VS_backend!T33&lt;=0.4,"OK","HIGH")</f>
        <v>#DIV/0!</v>
      </c>
      <c r="Q5" s="51" t="e">
        <f>(VS_inputs!J79-VS_backend!J48)/VS_backend!J48</f>
        <v>#DIV/0!</v>
      </c>
      <c r="R5" s="51" t="e">
        <f>(VS_inputs!L79-VS_backend!L48)/VS_backend!L48</f>
        <v>#DIV/0!</v>
      </c>
      <c r="S5" s="50" t="e">
        <f>IF(VS_backend!L48&gt;=VS_backend!L4,"OK","NO")</f>
        <v>#DIV/0!</v>
      </c>
      <c r="T5" s="51" t="e">
        <f>(VS_inputs!N79-VS_backend!M48)/VS_backend!M48</f>
        <v>#VALUE!</v>
      </c>
      <c r="U5" s="51" t="e">
        <f>(VS_inputs!P79-VS_backend!O48)/VS_backend!O48</f>
        <v>#VALUE!</v>
      </c>
      <c r="V5" s="50" t="e">
        <f>IF(VS_backend!O48&gt;=VS_backend!L4,"OK","NO")</f>
        <v>#VALUE!</v>
      </c>
      <c r="W5" s="51" t="e">
        <f>(VS_backend!Q48-VS_backend!L4)/VS_backend!L4</f>
        <v>#DIV/0!</v>
      </c>
      <c r="X5" s="50" t="e">
        <f>IF(VS_backend!Q48&gt;=VS_backend!L4,"OK","NO")</f>
        <v>#DIV/0!</v>
      </c>
    </row>
    <row r="6" spans="1:25" ht="15.5" x14ac:dyDescent="0.35">
      <c r="A6" s="31">
        <f>VS_inputs!A34</f>
        <v>0</v>
      </c>
      <c r="B6" s="51" t="e">
        <f>(VS_inputs!G34-VS_backend!H5)/VS_backend!H5</f>
        <v>#DIV/0!</v>
      </c>
      <c r="C6" s="50" t="str">
        <f>IF(VS_inputs!H34=VS_backend!I5,"OK","NO")</f>
        <v>NO</v>
      </c>
      <c r="D6" s="51" t="e">
        <f>(VS_inputs!J34-VS_backend!L5)/VS_backend!L5</f>
        <v>#DIV/0!</v>
      </c>
      <c r="E6" s="51" t="e">
        <f>(VS_inputs!L34-VS_backend!N5)/VS_backend!N5</f>
        <v>#DIV/0!</v>
      </c>
      <c r="F6" s="50" t="e">
        <f>IF(VS_backend!S19&gt;3%,IF(VS_backend!S19&lt;5%,"OK","CHECK"),"CHECK")</f>
        <v>#DIV/0!</v>
      </c>
      <c r="G6" s="50" t="str">
        <f>IF(VS_backend!F19&lt;4,"STEEP","OK")</f>
        <v>STEEP</v>
      </c>
      <c r="H6" s="50" t="str">
        <f>IF(VS_backend!G19&lt;25,"STEEP",IF(VS_backend!G19&gt;100,"GENTLE","OK"))</f>
        <v>STEEP</v>
      </c>
      <c r="I6" s="50" t="str">
        <f>IF(VS_backend!I19&lt;90%,IF(VS_backend!J19&lt;0.25,"TOO LOW","OK"),"Check Fig")</f>
        <v>TOO LOW</v>
      </c>
      <c r="J6" s="51" t="e">
        <f>(VS_inputs!M49-VS_backend!P19)/VS_backend!P19</f>
        <v>#DIV/0!</v>
      </c>
      <c r="K6" s="50" t="e">
        <f>IF(VS_backend!P19&gt;=VS_backend!L5,"OK","NO")</f>
        <v>#DIV/0!</v>
      </c>
      <c r="L6" s="51" t="e">
        <f>(VS_inputs!E64-VS_backend!J34)/VS_backend!J34</f>
        <v>#DIV/0!</v>
      </c>
      <c r="M6" s="50" t="e">
        <f>IF(VS_backend!J34&lt;0.5,"OK","HIGH")</f>
        <v>#DIV/0!</v>
      </c>
      <c r="N6" s="51" t="e">
        <f>(VS_inputs!J64-VS_backend!S34)/VS_backend!S34</f>
        <v>#DIV/0!</v>
      </c>
      <c r="O6" s="50" t="e">
        <f>IF(VS_backend!S34&lt;=2,"OK","HIGH")</f>
        <v>#DIV/0!</v>
      </c>
      <c r="P6" s="50" t="e">
        <f>IF(VS_backend!T34&lt;=0.4,"OK","HIGH")</f>
        <v>#DIV/0!</v>
      </c>
      <c r="Q6" s="51" t="e">
        <f>(VS_inputs!J80-VS_backend!J49)/VS_backend!J49</f>
        <v>#DIV/0!</v>
      </c>
      <c r="R6" s="51" t="e">
        <f>(VS_inputs!L80-VS_backend!L49)/VS_backend!L49</f>
        <v>#DIV/0!</v>
      </c>
      <c r="S6" s="50" t="e">
        <f>IF(VS_backend!L49&gt;=VS_backend!L5,"OK","NO")</f>
        <v>#DIV/0!</v>
      </c>
      <c r="T6" s="51" t="e">
        <f>(VS_inputs!N80-VS_backend!M49)/VS_backend!M49</f>
        <v>#VALUE!</v>
      </c>
      <c r="U6" s="51" t="e">
        <f>(VS_inputs!P80-VS_backend!O49)/VS_backend!O49</f>
        <v>#VALUE!</v>
      </c>
      <c r="V6" s="50" t="e">
        <f>IF(VS_backend!O49&gt;=VS_backend!L5,"OK","NO")</f>
        <v>#VALUE!</v>
      </c>
      <c r="W6" s="51" t="e">
        <f>(VS_backend!Q49-VS_backend!L5)/VS_backend!L5</f>
        <v>#DIV/0!</v>
      </c>
      <c r="X6" s="50" t="e">
        <f>IF(VS_backend!Q49&gt;=VS_backend!L5,"OK","NO")</f>
        <v>#DIV/0!</v>
      </c>
    </row>
    <row r="7" spans="1:25" ht="15.5" x14ac:dyDescent="0.35">
      <c r="A7" s="31">
        <f>VS_inputs!A35</f>
        <v>0</v>
      </c>
      <c r="B7" s="51" t="e">
        <f>(VS_inputs!G35-VS_backend!H6)/VS_backend!H6</f>
        <v>#DIV/0!</v>
      </c>
      <c r="C7" s="50" t="str">
        <f>IF(VS_inputs!H35=VS_backend!I6,"OK","NO")</f>
        <v>NO</v>
      </c>
      <c r="D7" s="51" t="e">
        <f>(VS_inputs!J35-VS_backend!L6)/VS_backend!L6</f>
        <v>#DIV/0!</v>
      </c>
      <c r="E7" s="51" t="e">
        <f>(VS_inputs!L35-VS_backend!N6)/VS_backend!N6</f>
        <v>#DIV/0!</v>
      </c>
      <c r="F7" s="50" t="e">
        <f>IF(VS_backend!S20&gt;3%,IF(VS_backend!S20&lt;5%,"OK","CHECK"),"CHECK")</f>
        <v>#DIV/0!</v>
      </c>
      <c r="G7" s="50" t="str">
        <f>IF(VS_backend!F20&lt;4,"STEEP","OK")</f>
        <v>STEEP</v>
      </c>
      <c r="H7" s="50" t="str">
        <f>IF(VS_backend!G20&lt;25,"STEEP",IF(VS_backend!G20&gt;100,"GENTLE","OK"))</f>
        <v>STEEP</v>
      </c>
      <c r="I7" s="50" t="str">
        <f>IF(VS_backend!I20&lt;90%,IF(VS_backend!J20&lt;0.25,"TOO LOW","OK"),"Check Fig")</f>
        <v>TOO LOW</v>
      </c>
      <c r="J7" s="51" t="e">
        <f>(VS_inputs!M50-VS_backend!P20)/VS_backend!P20</f>
        <v>#DIV/0!</v>
      </c>
      <c r="K7" s="50" t="e">
        <f>IF(VS_backend!P20&gt;=VS_backend!L6,"OK","NO")</f>
        <v>#DIV/0!</v>
      </c>
      <c r="L7" s="51" t="e">
        <f>(VS_inputs!E65-VS_backend!J35)/VS_backend!J35</f>
        <v>#DIV/0!</v>
      </c>
      <c r="M7" s="50" t="e">
        <f>IF(VS_backend!J35&lt;0.5,"OK","HIGH")</f>
        <v>#DIV/0!</v>
      </c>
      <c r="N7" s="51" t="e">
        <f>(VS_inputs!J65-VS_backend!S35)/VS_backend!S35</f>
        <v>#DIV/0!</v>
      </c>
      <c r="O7" s="50" t="e">
        <f>IF(VS_backend!S35&lt;=2,"OK","HIGH")</f>
        <v>#DIV/0!</v>
      </c>
      <c r="P7" s="50" t="e">
        <f>IF(VS_backend!T35&lt;=0.4,"OK","HIGH")</f>
        <v>#DIV/0!</v>
      </c>
      <c r="Q7" s="51" t="e">
        <f>(VS_inputs!J81-VS_backend!J50)/VS_backend!J50</f>
        <v>#DIV/0!</v>
      </c>
      <c r="R7" s="51" t="e">
        <f>(VS_inputs!L81-VS_backend!L50)/VS_backend!L50</f>
        <v>#DIV/0!</v>
      </c>
      <c r="S7" s="50" t="e">
        <f>IF(VS_backend!L50&gt;=VS_backend!L6,"OK","NO")</f>
        <v>#DIV/0!</v>
      </c>
      <c r="T7" s="51" t="e">
        <f>(VS_inputs!N81-VS_backend!M50)/VS_backend!M50</f>
        <v>#VALUE!</v>
      </c>
      <c r="U7" s="51" t="e">
        <f>(VS_inputs!P81-VS_backend!O50)/VS_backend!O50</f>
        <v>#VALUE!</v>
      </c>
      <c r="V7" s="50" t="e">
        <f>IF(VS_backend!O50&gt;=VS_backend!L6,"OK","NO")</f>
        <v>#VALUE!</v>
      </c>
      <c r="W7" s="51" t="e">
        <f>(VS_backend!Q50-VS_backend!L6)/VS_backend!L6</f>
        <v>#DIV/0!</v>
      </c>
      <c r="X7" s="50" t="e">
        <f>IF(VS_backend!Q50&gt;=VS_backend!L6,"OK","NO")</f>
        <v>#DIV/0!</v>
      </c>
    </row>
    <row r="8" spans="1:25" ht="15.5" x14ac:dyDescent="0.35">
      <c r="A8" s="31">
        <f>VS_inputs!A36</f>
        <v>0</v>
      </c>
      <c r="B8" s="51" t="e">
        <f>(VS_inputs!G36-VS_backend!H7)/VS_backend!H7</f>
        <v>#DIV/0!</v>
      </c>
      <c r="C8" s="50" t="str">
        <f>IF(VS_inputs!H36=VS_backend!I7,"OK","NO")</f>
        <v>NO</v>
      </c>
      <c r="D8" s="51" t="e">
        <f>(VS_inputs!J36-VS_backend!L7)/VS_backend!L7</f>
        <v>#DIV/0!</v>
      </c>
      <c r="E8" s="51" t="e">
        <f>(VS_inputs!L36-VS_backend!N7)/VS_backend!N7</f>
        <v>#DIV/0!</v>
      </c>
      <c r="F8" s="50" t="e">
        <f>IF(VS_backend!S21&gt;3%,IF(VS_backend!S21&lt;5%,"OK","CHECK"),"CHECK")</f>
        <v>#DIV/0!</v>
      </c>
      <c r="G8" s="50" t="str">
        <f>IF(VS_backend!F21&lt;4,"STEEP","OK")</f>
        <v>STEEP</v>
      </c>
      <c r="H8" s="50" t="str">
        <f>IF(VS_backend!G21&lt;25,"STEEP",IF(VS_backend!G21&gt;100,"GENTLE","OK"))</f>
        <v>STEEP</v>
      </c>
      <c r="I8" s="50" t="str">
        <f>IF(VS_backend!I21&lt;90%,IF(VS_backend!J21&lt;0.25,"TOO LOW","OK"),"Check Fig")</f>
        <v>TOO LOW</v>
      </c>
      <c r="J8" s="51" t="e">
        <f>(VS_inputs!M51-VS_backend!P21)/VS_backend!P21</f>
        <v>#DIV/0!</v>
      </c>
      <c r="K8" s="50" t="e">
        <f>IF(VS_backend!P21&gt;=VS_backend!L7,"OK","NO")</f>
        <v>#DIV/0!</v>
      </c>
      <c r="L8" s="51" t="e">
        <f>(VS_inputs!E66-VS_backend!J36)/VS_backend!J36</f>
        <v>#DIV/0!</v>
      </c>
      <c r="M8" s="50" t="e">
        <f>IF(VS_backend!J36&lt;0.5,"OK","HIGH")</f>
        <v>#DIV/0!</v>
      </c>
      <c r="N8" s="51" t="e">
        <f>(VS_inputs!J66-VS_backend!S36)/VS_backend!S36</f>
        <v>#DIV/0!</v>
      </c>
      <c r="O8" s="50" t="e">
        <f>IF(VS_backend!S36&lt;=2,"OK","HIGH")</f>
        <v>#DIV/0!</v>
      </c>
      <c r="P8" s="50" t="e">
        <f>IF(VS_backend!T36&lt;=0.4,"OK","HIGH")</f>
        <v>#DIV/0!</v>
      </c>
      <c r="Q8" s="51" t="e">
        <f>(VS_inputs!J82-VS_backend!J51)/VS_backend!J51</f>
        <v>#DIV/0!</v>
      </c>
      <c r="R8" s="51" t="e">
        <f>(VS_inputs!L82-VS_backend!L51)/VS_backend!L51</f>
        <v>#DIV/0!</v>
      </c>
      <c r="S8" s="50" t="e">
        <f>IF(VS_backend!L51&gt;=VS_backend!L7,"OK","NO")</f>
        <v>#DIV/0!</v>
      </c>
      <c r="T8" s="51" t="e">
        <f>(VS_inputs!N82-VS_backend!M51)/VS_backend!M51</f>
        <v>#VALUE!</v>
      </c>
      <c r="U8" s="51" t="e">
        <f>(VS_inputs!P82-VS_backend!O51)/VS_backend!O51</f>
        <v>#VALUE!</v>
      </c>
      <c r="V8" s="50" t="e">
        <f>IF(VS_backend!O51&gt;=VS_backend!L7,"OK","NO")</f>
        <v>#VALUE!</v>
      </c>
      <c r="W8" s="51" t="e">
        <f>(VS_backend!Q51-VS_backend!L7)/VS_backend!L7</f>
        <v>#DIV/0!</v>
      </c>
      <c r="X8" s="50" t="e">
        <f>IF(VS_backend!Q51&gt;=VS_backend!L7,"OK","NO")</f>
        <v>#DIV/0!</v>
      </c>
    </row>
    <row r="9" spans="1:25" ht="15.5" x14ac:dyDescent="0.35">
      <c r="A9" s="31">
        <f>VS_inputs!A37</f>
        <v>0</v>
      </c>
      <c r="B9" s="51" t="e">
        <f>(VS_inputs!G37-VS_backend!H8)/VS_backend!H8</f>
        <v>#DIV/0!</v>
      </c>
      <c r="C9" s="50" t="str">
        <f>IF(VS_inputs!H37=VS_backend!I8,"OK","NO")</f>
        <v>NO</v>
      </c>
      <c r="D9" s="51" t="e">
        <f>(VS_inputs!J37-VS_backend!L8)/VS_backend!L8</f>
        <v>#DIV/0!</v>
      </c>
      <c r="E9" s="51" t="e">
        <f>(VS_inputs!L37-VS_backend!N8)/VS_backend!N8</f>
        <v>#DIV/0!</v>
      </c>
      <c r="F9" s="50" t="e">
        <f>IF(VS_backend!S22&gt;3%,IF(VS_backend!S22&lt;5%,"OK","CHECK"),"CHECK")</f>
        <v>#DIV/0!</v>
      </c>
      <c r="G9" s="50" t="str">
        <f>IF(VS_backend!F22&lt;4,"STEEP","OK")</f>
        <v>STEEP</v>
      </c>
      <c r="H9" s="50" t="str">
        <f>IF(VS_backend!G22&lt;25,"STEEP",IF(VS_backend!G22&gt;100,"GENTLE","OK"))</f>
        <v>STEEP</v>
      </c>
      <c r="I9" s="50" t="str">
        <f>IF(VS_backend!I22&lt;90%,IF(VS_backend!J22&lt;0.25,"TOO LOW","OK"),"Check Fig")</f>
        <v>TOO LOW</v>
      </c>
      <c r="J9" s="51" t="e">
        <f>(VS_inputs!M52-VS_backend!P22)/VS_backend!P22</f>
        <v>#DIV/0!</v>
      </c>
      <c r="K9" s="50" t="e">
        <f>IF(VS_backend!P22&gt;=VS_backend!L8,"OK","NO")</f>
        <v>#DIV/0!</v>
      </c>
      <c r="L9" s="51" t="e">
        <f>(VS_inputs!E67-VS_backend!J37)/VS_backend!J37</f>
        <v>#DIV/0!</v>
      </c>
      <c r="M9" s="50" t="e">
        <f>IF(VS_backend!J37&lt;0.5,"OK","HIGH")</f>
        <v>#DIV/0!</v>
      </c>
      <c r="N9" s="51" t="e">
        <f>(VS_inputs!J67-VS_backend!S37)/VS_backend!S37</f>
        <v>#DIV/0!</v>
      </c>
      <c r="O9" s="50" t="e">
        <f>IF(VS_backend!S37&lt;=2,"OK","HIGH")</f>
        <v>#DIV/0!</v>
      </c>
      <c r="P9" s="50" t="e">
        <f>IF(VS_backend!T37&lt;=0.4,"OK","HIGH")</f>
        <v>#DIV/0!</v>
      </c>
      <c r="Q9" s="51" t="e">
        <f>(VS_inputs!J83-VS_backend!J52)/VS_backend!J52</f>
        <v>#DIV/0!</v>
      </c>
      <c r="R9" s="51" t="e">
        <f>(VS_inputs!L83-VS_backend!L52)/VS_backend!L52</f>
        <v>#DIV/0!</v>
      </c>
      <c r="S9" s="50" t="e">
        <f>IF(VS_backend!L52&gt;=VS_backend!L8,"OK","NO")</f>
        <v>#DIV/0!</v>
      </c>
      <c r="T9" s="51" t="e">
        <f>(VS_inputs!N83-VS_backend!M52)/VS_backend!M52</f>
        <v>#VALUE!</v>
      </c>
      <c r="U9" s="51" t="e">
        <f>(VS_inputs!P83-VS_backend!O52)/VS_backend!O52</f>
        <v>#VALUE!</v>
      </c>
      <c r="V9" s="50" t="e">
        <f>IF(VS_backend!O52&gt;=VS_backend!L8,"OK","NO")</f>
        <v>#VALUE!</v>
      </c>
      <c r="W9" s="51" t="e">
        <f>(VS_backend!Q52-VS_backend!L8)/VS_backend!L8</f>
        <v>#DIV/0!</v>
      </c>
      <c r="X9" s="50" t="e">
        <f>IF(VS_backend!Q52&gt;=VS_backend!L8,"OK","NO")</f>
        <v>#DIV/0!</v>
      </c>
    </row>
    <row r="10" spans="1:25" ht="15.5" x14ac:dyDescent="0.35">
      <c r="A10" s="31">
        <f>VS_inputs!A38</f>
        <v>0</v>
      </c>
      <c r="B10" s="51" t="e">
        <f>(VS_inputs!G38-VS_backend!H9)/VS_backend!H9</f>
        <v>#DIV/0!</v>
      </c>
      <c r="C10" s="50" t="str">
        <f>IF(VS_inputs!H38=VS_backend!I9,"OK","NO")</f>
        <v>NO</v>
      </c>
      <c r="D10" s="51" t="e">
        <f>(VS_inputs!J38-VS_backend!L9)/VS_backend!L9</f>
        <v>#DIV/0!</v>
      </c>
      <c r="E10" s="51" t="e">
        <f>(VS_inputs!L38-VS_backend!N9)/VS_backend!N9</f>
        <v>#DIV/0!</v>
      </c>
      <c r="F10" s="50" t="e">
        <f>IF(VS_backend!S23&gt;3%,IF(VS_backend!S23&lt;5%,"OK","CHECK"),"CHECK")</f>
        <v>#DIV/0!</v>
      </c>
      <c r="G10" s="50" t="str">
        <f>IF(VS_backend!F23&lt;4,"STEEP","OK")</f>
        <v>STEEP</v>
      </c>
      <c r="H10" s="50" t="str">
        <f>IF(VS_backend!G23&lt;25,"STEEP",IF(VS_backend!G23&gt;100,"GENTLE","OK"))</f>
        <v>STEEP</v>
      </c>
      <c r="I10" s="50" t="str">
        <f>IF(VS_backend!I23&lt;90%,IF(VS_backend!J23&lt;0.25,"TOO LOW","OK"),"Check Fig")</f>
        <v>TOO LOW</v>
      </c>
      <c r="J10" s="51" t="e">
        <f>(VS_inputs!M53-VS_backend!P23)/VS_backend!P23</f>
        <v>#DIV/0!</v>
      </c>
      <c r="K10" s="50" t="e">
        <f>IF(VS_backend!P23&gt;=VS_backend!L9,"OK","NO")</f>
        <v>#DIV/0!</v>
      </c>
      <c r="L10" s="51" t="e">
        <f>(VS_inputs!E68-VS_backend!J38)/VS_backend!J38</f>
        <v>#DIV/0!</v>
      </c>
      <c r="M10" s="50" t="e">
        <f>IF(VS_backend!J38&lt;0.5,"OK","HIGH")</f>
        <v>#DIV/0!</v>
      </c>
      <c r="N10" s="51" t="e">
        <f>(VS_inputs!J68-VS_backend!S38)/VS_backend!S38</f>
        <v>#DIV/0!</v>
      </c>
      <c r="O10" s="50" t="e">
        <f>IF(VS_backend!S38&lt;=2,"OK","HIGH")</f>
        <v>#DIV/0!</v>
      </c>
      <c r="P10" s="50" t="e">
        <f>IF(VS_backend!T38&lt;=0.4,"OK","HIGH")</f>
        <v>#DIV/0!</v>
      </c>
      <c r="Q10" s="51" t="e">
        <f>(VS_inputs!J84-VS_backend!J53)/VS_backend!J53</f>
        <v>#DIV/0!</v>
      </c>
      <c r="R10" s="51" t="e">
        <f>(VS_inputs!L84-VS_backend!L53)/VS_backend!L53</f>
        <v>#DIV/0!</v>
      </c>
      <c r="S10" s="50" t="e">
        <f>IF(VS_backend!L53&gt;=VS_backend!L9,"OK","NO")</f>
        <v>#DIV/0!</v>
      </c>
      <c r="T10" s="51" t="e">
        <f>(VS_inputs!N84-VS_backend!M53)/VS_backend!M53</f>
        <v>#VALUE!</v>
      </c>
      <c r="U10" s="51" t="e">
        <f>(VS_inputs!P84-VS_backend!O53)/VS_backend!O53</f>
        <v>#VALUE!</v>
      </c>
      <c r="V10" s="50" t="e">
        <f>IF(VS_backend!O53&gt;=VS_backend!L9,"OK","NO")</f>
        <v>#VALUE!</v>
      </c>
      <c r="W10" s="51" t="e">
        <f>(VS_backend!Q53-VS_backend!L9)/VS_backend!L9</f>
        <v>#DIV/0!</v>
      </c>
      <c r="X10" s="50" t="e">
        <f>IF(VS_backend!Q53&gt;=VS_backend!L9,"OK","NO")</f>
        <v>#DIV/0!</v>
      </c>
    </row>
    <row r="11" spans="1:25" ht="15.5" x14ac:dyDescent="0.35">
      <c r="A11" s="31">
        <f>VS_inputs!A39</f>
        <v>0</v>
      </c>
      <c r="B11" s="51" t="e">
        <f>(VS_inputs!G39-VS_backend!H10)/VS_backend!H10</f>
        <v>#DIV/0!</v>
      </c>
      <c r="C11" s="50" t="str">
        <f>IF(VS_inputs!H39=VS_backend!I10,"OK","NO")</f>
        <v>NO</v>
      </c>
      <c r="D11" s="51" t="e">
        <f>(VS_inputs!J39-VS_backend!L10)/VS_backend!L10</f>
        <v>#DIV/0!</v>
      </c>
      <c r="E11" s="51" t="e">
        <f>(VS_inputs!L39-VS_backend!N10)/VS_backend!N10</f>
        <v>#DIV/0!</v>
      </c>
      <c r="F11" s="50" t="e">
        <f>IF(VS_backend!S24&gt;3%,IF(VS_backend!S24&lt;5%,"OK","CHECK"),"CHECK")</f>
        <v>#DIV/0!</v>
      </c>
      <c r="G11" s="50" t="str">
        <f>IF(VS_backend!F24&lt;4,"STEEP","OK")</f>
        <v>STEEP</v>
      </c>
      <c r="H11" s="50" t="str">
        <f>IF(VS_backend!G24&lt;25,"STEEP",IF(VS_backend!G24&gt;100,"GENTLE","OK"))</f>
        <v>STEEP</v>
      </c>
      <c r="I11" s="50" t="str">
        <f>IF(VS_backend!I24&lt;90%,IF(VS_backend!J24&lt;0.25,"TOO LOW","OK"),"Check Fig")</f>
        <v>TOO LOW</v>
      </c>
      <c r="J11" s="51" t="e">
        <f>(VS_inputs!M54-VS_backend!P24)/VS_backend!P24</f>
        <v>#DIV/0!</v>
      </c>
      <c r="K11" s="50" t="e">
        <f>IF(VS_backend!P24&gt;=VS_backend!L10,"OK","NO")</f>
        <v>#DIV/0!</v>
      </c>
      <c r="L11" s="51" t="e">
        <f>(VS_inputs!E69-VS_backend!J39)/VS_backend!J39</f>
        <v>#DIV/0!</v>
      </c>
      <c r="M11" s="50" t="e">
        <f>IF(VS_backend!J39&lt;0.5,"OK","HIGH")</f>
        <v>#DIV/0!</v>
      </c>
      <c r="N11" s="51" t="e">
        <f>(VS_inputs!J69-VS_backend!S39)/VS_backend!S39</f>
        <v>#DIV/0!</v>
      </c>
      <c r="O11" s="50" t="e">
        <f>IF(VS_backend!S39&lt;=2,"OK","HIGH")</f>
        <v>#DIV/0!</v>
      </c>
      <c r="P11" s="50" t="e">
        <f>IF(VS_backend!T39&lt;=0.4,"OK","HIGH")</f>
        <v>#DIV/0!</v>
      </c>
      <c r="Q11" s="51" t="e">
        <f>(VS_inputs!J85-VS_backend!J54)/VS_backend!J54</f>
        <v>#DIV/0!</v>
      </c>
      <c r="R11" s="51" t="e">
        <f>(VS_inputs!L85-VS_backend!L54)/VS_backend!L54</f>
        <v>#DIV/0!</v>
      </c>
      <c r="S11" s="50" t="e">
        <f>IF(VS_backend!L54&gt;=VS_backend!L10,"OK","NO")</f>
        <v>#DIV/0!</v>
      </c>
      <c r="T11" s="51" t="e">
        <f>(VS_inputs!N85-VS_backend!M54)/VS_backend!M54</f>
        <v>#VALUE!</v>
      </c>
      <c r="U11" s="51" t="e">
        <f>(VS_inputs!P85-VS_backend!O54)/VS_backend!O54</f>
        <v>#VALUE!</v>
      </c>
      <c r="V11" s="50" t="e">
        <f>IF(VS_backend!O54&gt;=VS_backend!L10,"OK","NO")</f>
        <v>#VALUE!</v>
      </c>
      <c r="W11" s="51" t="e">
        <f>(VS_backend!Q54-VS_backend!L10)/VS_backend!L10</f>
        <v>#DIV/0!</v>
      </c>
      <c r="X11" s="50" t="e">
        <f>IF(VS_backend!Q54&gt;=VS_backend!L10,"OK","NO")</f>
        <v>#DIV/0!</v>
      </c>
    </row>
    <row r="12" spans="1:25" ht="15.5" x14ac:dyDescent="0.35">
      <c r="A12" s="31">
        <f>VS_inputs!A40</f>
        <v>0</v>
      </c>
      <c r="B12" s="51" t="e">
        <f>(VS_inputs!G40-VS_backend!H11)/VS_backend!H11</f>
        <v>#DIV/0!</v>
      </c>
      <c r="C12" s="50" t="str">
        <f>IF(VS_inputs!H40=VS_backend!I11,"OK","NO")</f>
        <v>NO</v>
      </c>
      <c r="D12" s="51" t="e">
        <f>(VS_inputs!J40-VS_backend!L11)/VS_backend!L11</f>
        <v>#DIV/0!</v>
      </c>
      <c r="E12" s="51" t="e">
        <f>(VS_inputs!L40-VS_backend!N11)/VS_backend!N11</f>
        <v>#DIV/0!</v>
      </c>
      <c r="F12" s="50" t="e">
        <f>IF(VS_backend!S25&gt;3%,IF(VS_backend!S25&lt;5%,"OK","CHECK"),"CHECK")</f>
        <v>#DIV/0!</v>
      </c>
      <c r="G12" s="50" t="str">
        <f>IF(VS_backend!F25&lt;4,"STEEP","OK")</f>
        <v>STEEP</v>
      </c>
      <c r="H12" s="50" t="str">
        <f>IF(VS_backend!G25&lt;25,"STEEP",IF(VS_backend!G25&gt;100,"GENTLE","OK"))</f>
        <v>STEEP</v>
      </c>
      <c r="I12" s="50" t="str">
        <f>IF(VS_backend!I25&lt;90%,IF(VS_backend!J25&lt;0.25,"TOO LOW","OK"),"Check Fig")</f>
        <v>TOO LOW</v>
      </c>
      <c r="J12" s="51" t="e">
        <f>(VS_inputs!M55-VS_backend!P25)/VS_backend!P25</f>
        <v>#DIV/0!</v>
      </c>
      <c r="K12" s="50" t="e">
        <f>IF(VS_backend!P25&gt;=VS_backend!L11,"OK","NO")</f>
        <v>#DIV/0!</v>
      </c>
      <c r="L12" s="51" t="e">
        <f>(VS_inputs!E70-VS_backend!J40)/VS_backend!J40</f>
        <v>#DIV/0!</v>
      </c>
      <c r="M12" s="50" t="e">
        <f>IF(VS_backend!J40&lt;0.5,"OK","HIGH")</f>
        <v>#DIV/0!</v>
      </c>
      <c r="N12" s="51" t="e">
        <f>(VS_inputs!J70-VS_backend!S40)/VS_backend!S40</f>
        <v>#DIV/0!</v>
      </c>
      <c r="O12" s="50" t="e">
        <f>IF(VS_backend!S40&lt;=2,"OK","HIGH")</f>
        <v>#DIV/0!</v>
      </c>
      <c r="P12" s="50" t="e">
        <f>IF(VS_backend!T40&lt;=0.4,"OK","HIGH")</f>
        <v>#DIV/0!</v>
      </c>
      <c r="Q12" s="51" t="e">
        <f>(VS_inputs!J86-VS_backend!J55)/VS_backend!J55</f>
        <v>#DIV/0!</v>
      </c>
      <c r="R12" s="51" t="e">
        <f>(VS_inputs!L86-VS_backend!L55)/VS_backend!L55</f>
        <v>#DIV/0!</v>
      </c>
      <c r="S12" s="50" t="e">
        <f>IF(VS_backend!L55&gt;=VS_backend!L11,"OK","NO")</f>
        <v>#DIV/0!</v>
      </c>
      <c r="T12" s="51" t="e">
        <f>(VS_inputs!N86-VS_backend!M55)/VS_backend!M55</f>
        <v>#VALUE!</v>
      </c>
      <c r="U12" s="51" t="e">
        <f>(VS_inputs!P86-VS_backend!O55)/VS_backend!O55</f>
        <v>#VALUE!</v>
      </c>
      <c r="V12" s="50" t="e">
        <f>IF(VS_backend!O55&gt;=VS_backend!L11,"OK","NO")</f>
        <v>#VALUE!</v>
      </c>
      <c r="W12" s="51" t="e">
        <f>(VS_backend!Q55-VS_backend!L11)/VS_backend!L11</f>
        <v>#DIV/0!</v>
      </c>
      <c r="X12" s="50" t="e">
        <f>IF(VS_backend!Q55&gt;=VS_backend!L11,"OK","NO")</f>
        <v>#DIV/0!</v>
      </c>
    </row>
    <row r="13" spans="1:25" ht="15.5" x14ac:dyDescent="0.35">
      <c r="A13" s="31">
        <f>VS_inputs!A41</f>
        <v>0</v>
      </c>
      <c r="B13" s="51" t="e">
        <f>(VS_inputs!G41-VS_backend!H12)/VS_backend!H12</f>
        <v>#DIV/0!</v>
      </c>
      <c r="C13" s="50" t="str">
        <f>IF(VS_inputs!H41=VS_backend!I12,"OK","NO")</f>
        <v>NO</v>
      </c>
      <c r="D13" s="51" t="e">
        <f>(VS_inputs!J41-VS_backend!L12)/VS_backend!L12</f>
        <v>#DIV/0!</v>
      </c>
      <c r="E13" s="51" t="e">
        <f>(VS_inputs!L41-VS_backend!N12)/VS_backend!N12</f>
        <v>#DIV/0!</v>
      </c>
      <c r="F13" s="50" t="e">
        <f>IF(VS_backend!S26&gt;3%,IF(VS_backend!S26&lt;5%,"OK","CHECK"),"CHECK")</f>
        <v>#DIV/0!</v>
      </c>
      <c r="G13" s="50" t="str">
        <f>IF(VS_backend!F26&lt;4,"STEEP","OK")</f>
        <v>STEEP</v>
      </c>
      <c r="H13" s="50" t="str">
        <f>IF(VS_backend!G26&lt;25,"STEEP",IF(VS_backend!G26&gt;100,"GENTLE","OK"))</f>
        <v>STEEP</v>
      </c>
      <c r="I13" s="50" t="str">
        <f>IF(VS_backend!I26&lt;90%,IF(VS_backend!J26&lt;0.25,"TOO LOW","OK"),"Check Fig")</f>
        <v>TOO LOW</v>
      </c>
      <c r="J13" s="51" t="e">
        <f>(VS_inputs!M56-VS_backend!P26)/VS_backend!P26</f>
        <v>#DIV/0!</v>
      </c>
      <c r="K13" s="50" t="e">
        <f>IF(VS_backend!P26&gt;=VS_backend!L12,"OK","NO")</f>
        <v>#DIV/0!</v>
      </c>
      <c r="L13" s="51" t="e">
        <f>(VS_inputs!E71-VS_backend!J41)/VS_backend!J41</f>
        <v>#DIV/0!</v>
      </c>
      <c r="M13" s="50" t="e">
        <f>IF(VS_backend!J41&lt;0.5,"OK","HIGH")</f>
        <v>#DIV/0!</v>
      </c>
      <c r="N13" s="51" t="e">
        <f>(VS_inputs!J71-VS_backend!S41)/VS_backend!S41</f>
        <v>#DIV/0!</v>
      </c>
      <c r="O13" s="50" t="e">
        <f>IF(VS_backend!S41&lt;=2,"OK","HIGH")</f>
        <v>#DIV/0!</v>
      </c>
      <c r="P13" s="50" t="e">
        <f>IF(VS_backend!T41&lt;=0.4,"OK","HIGH")</f>
        <v>#DIV/0!</v>
      </c>
      <c r="Q13" s="51" t="e">
        <f>(VS_inputs!J87-VS_backend!J56)/VS_backend!J56</f>
        <v>#DIV/0!</v>
      </c>
      <c r="R13" s="51" t="e">
        <f>(VS_inputs!L87-VS_backend!L56)/VS_backend!L56</f>
        <v>#DIV/0!</v>
      </c>
      <c r="S13" s="50" t="e">
        <f>IF(VS_backend!L56&gt;=VS_backend!L12,"OK","NO")</f>
        <v>#DIV/0!</v>
      </c>
      <c r="T13" s="51" t="e">
        <f>(VS_inputs!N87-VS_backend!M56)/VS_backend!M56</f>
        <v>#VALUE!</v>
      </c>
      <c r="U13" s="51" t="e">
        <f>(VS_inputs!P87-VS_backend!O56)/VS_backend!O56</f>
        <v>#VALUE!</v>
      </c>
      <c r="V13" s="50" t="e">
        <f>IF(VS_backend!O56&gt;=VS_backend!L12,"OK","NO")</f>
        <v>#VALUE!</v>
      </c>
      <c r="W13" s="51" t="e">
        <f>(VS_backend!Q56-VS_backend!L12)/VS_backend!L12</f>
        <v>#DIV/0!</v>
      </c>
      <c r="X13" s="50" t="e">
        <f>IF(VS_backend!Q56&gt;=VS_backend!L12,"OK","NO")</f>
        <v>#DIV/0!</v>
      </c>
    </row>
    <row r="14" spans="1:25" x14ac:dyDescent="0.35">
      <c r="J14" s="84" t="s">
        <v>152</v>
      </c>
    </row>
  </sheetData>
  <mergeCells count="12">
    <mergeCell ref="W2:X2"/>
    <mergeCell ref="R2:S2"/>
    <mergeCell ref="U2:V2"/>
    <mergeCell ref="G1:K1"/>
    <mergeCell ref="T1:V1"/>
    <mergeCell ref="L1:P1"/>
    <mergeCell ref="Q1:S1"/>
    <mergeCell ref="A2:A3"/>
    <mergeCell ref="L2:M2"/>
    <mergeCell ref="N2:O2"/>
    <mergeCell ref="J2:K2"/>
    <mergeCell ref="B1:E1"/>
  </mergeCells>
  <phoneticPr fontId="22" type="noConversion"/>
  <conditionalFormatting sqref="B4:B13">
    <cfRule type="cellIs" dxfId="47" priority="95" operator="between">
      <formula>-0.05</formula>
      <formula>0.05</formula>
    </cfRule>
    <cfRule type="cellIs" dxfId="46" priority="94" operator="between">
      <formula>-0.05</formula>
      <formula>0.05</formula>
    </cfRule>
    <cfRule type="cellIs" dxfId="45" priority="50" operator="between">
      <formula>-0.1</formula>
      <formula>0.1</formula>
    </cfRule>
    <cfRule type="cellIs" dxfId="44" priority="49" operator="between">
      <formula>-0.1</formula>
      <formula>0.1</formula>
    </cfRule>
  </conditionalFormatting>
  <conditionalFormatting sqref="C4:C13">
    <cfRule type="cellIs" dxfId="43" priority="90" operator="equal">
      <formula>"""OK"""</formula>
    </cfRule>
    <cfRule type="cellIs" dxfId="42" priority="89" operator="equal">
      <formula>"OK"</formula>
    </cfRule>
  </conditionalFormatting>
  <conditionalFormatting sqref="D4:E13">
    <cfRule type="cellIs" dxfId="41" priority="41" operator="between">
      <formula>-0.1</formula>
      <formula>0.1</formula>
    </cfRule>
    <cfRule type="cellIs" dxfId="40" priority="44" operator="between">
      <formula>-0.05</formula>
      <formula>0.05</formula>
    </cfRule>
    <cfRule type="cellIs" dxfId="39" priority="43" operator="between">
      <formula>-0.05</formula>
      <formula>0.05</formula>
    </cfRule>
    <cfRule type="cellIs" dxfId="38" priority="42" operator="between">
      <formula>-0.1</formula>
      <formula>0.1</formula>
    </cfRule>
  </conditionalFormatting>
  <conditionalFormatting sqref="F4:I13">
    <cfRule type="cellIs" dxfId="37" priority="15" operator="equal">
      <formula>"OK"</formula>
    </cfRule>
    <cfRule type="cellIs" dxfId="36" priority="16" operator="equal">
      <formula>"""OK"""</formula>
    </cfRule>
  </conditionalFormatting>
  <conditionalFormatting sqref="J4:J13">
    <cfRule type="cellIs" dxfId="35" priority="39" operator="between">
      <formula>-0.05</formula>
      <formula>0.05</formula>
    </cfRule>
    <cfRule type="cellIs" dxfId="34" priority="38" operator="between">
      <formula>-0.1</formula>
      <formula>0.1</formula>
    </cfRule>
    <cfRule type="cellIs" dxfId="33" priority="37" operator="between">
      <formula>-0.1</formula>
      <formula>0.1</formula>
    </cfRule>
    <cfRule type="cellIs" dxfId="32" priority="40" operator="between">
      <formula>-0.05</formula>
      <formula>0.05</formula>
    </cfRule>
  </conditionalFormatting>
  <conditionalFormatting sqref="K4:K13">
    <cfRule type="cellIs" dxfId="31" priority="72" operator="equal">
      <formula>"""OK"""</formula>
    </cfRule>
    <cfRule type="cellIs" dxfId="30" priority="71" operator="equal">
      <formula>"OK"</formula>
    </cfRule>
  </conditionalFormatting>
  <conditionalFormatting sqref="L4:L13">
    <cfRule type="cellIs" dxfId="29" priority="33" operator="between">
      <formula>-0.1</formula>
      <formula>0.1</formula>
    </cfRule>
    <cfRule type="cellIs" dxfId="28" priority="34" operator="between">
      <formula>-0.1</formula>
      <formula>0.1</formula>
    </cfRule>
    <cfRule type="cellIs" dxfId="27" priority="35" operator="between">
      <formula>-0.05</formula>
      <formula>0.05</formula>
    </cfRule>
    <cfRule type="cellIs" dxfId="26" priority="36" operator="between">
      <formula>-0.05</formula>
      <formula>0.05</formula>
    </cfRule>
  </conditionalFormatting>
  <conditionalFormatting sqref="M4:M13">
    <cfRule type="cellIs" dxfId="25" priority="75" operator="equal">
      <formula>"OK"</formula>
    </cfRule>
    <cfRule type="cellIs" dxfId="24" priority="76" operator="equal">
      <formula>"""OK"""</formula>
    </cfRule>
  </conditionalFormatting>
  <conditionalFormatting sqref="N4:N13">
    <cfRule type="cellIs" dxfId="23" priority="32" operator="between">
      <formula>-0.05</formula>
      <formula>0.05</formula>
    </cfRule>
    <cfRule type="cellIs" dxfId="22" priority="31" operator="between">
      <formula>-0.05</formula>
      <formula>0.05</formula>
    </cfRule>
    <cfRule type="cellIs" dxfId="21" priority="30" operator="between">
      <formula>-0.1</formula>
      <formula>0.1</formula>
    </cfRule>
    <cfRule type="cellIs" dxfId="20" priority="29" operator="between">
      <formula>-0.1</formula>
      <formula>0.1</formula>
    </cfRule>
  </conditionalFormatting>
  <conditionalFormatting sqref="O4:P13">
    <cfRule type="cellIs" dxfId="19" priority="67" operator="equal">
      <formula>"OK"</formula>
    </cfRule>
    <cfRule type="cellIs" dxfId="18" priority="68" operator="equal">
      <formula>"""OK"""</formula>
    </cfRule>
  </conditionalFormatting>
  <conditionalFormatting sqref="Q4:R13">
    <cfRule type="cellIs" dxfId="17" priority="14" operator="between">
      <formula>-0.05</formula>
      <formula>0.05</formula>
    </cfRule>
    <cfRule type="cellIs" dxfId="16" priority="13" operator="between">
      <formula>-0.05</formula>
      <formula>0.05</formula>
    </cfRule>
    <cfRule type="cellIs" dxfId="15" priority="12" operator="between">
      <formula>-0.1</formula>
      <formula>0.1</formula>
    </cfRule>
    <cfRule type="cellIs" dxfId="14" priority="11" operator="between">
      <formula>-0.1</formula>
      <formula>0.1</formula>
    </cfRule>
  </conditionalFormatting>
  <conditionalFormatting sqref="S4:S13">
    <cfRule type="cellIs" dxfId="13" priority="54" operator="equal">
      <formula>"OK"</formula>
    </cfRule>
    <cfRule type="cellIs" dxfId="12" priority="55" operator="equal">
      <formula>"""OK"""</formula>
    </cfRule>
  </conditionalFormatting>
  <conditionalFormatting sqref="T4:U13">
    <cfRule type="cellIs" dxfId="11" priority="7" operator="between">
      <formula>-0.1</formula>
      <formula>0.1</formula>
    </cfRule>
    <cfRule type="cellIs" dxfId="10" priority="9" operator="between">
      <formula>-0.05</formula>
      <formula>0.05</formula>
    </cfRule>
    <cfRule type="cellIs" dxfId="9" priority="10" operator="between">
      <formula>-0.05</formula>
      <formula>0.05</formula>
    </cfRule>
    <cfRule type="cellIs" dxfId="8" priority="8" operator="between">
      <formula>-0.1</formula>
      <formula>0.1</formula>
    </cfRule>
  </conditionalFormatting>
  <conditionalFormatting sqref="V4:V13">
    <cfRule type="cellIs" dxfId="7" priority="20" operator="equal">
      <formula>"""OK"""</formula>
    </cfRule>
    <cfRule type="cellIs" dxfId="6" priority="19" operator="equal">
      <formula>"OK"</formula>
    </cfRule>
  </conditionalFormatting>
  <conditionalFormatting sqref="W4:W13">
    <cfRule type="cellIs" dxfId="5" priority="2" operator="between">
      <formula>-0.1</formula>
      <formula>0.1</formula>
    </cfRule>
    <cfRule type="cellIs" dxfId="4" priority="3" operator="between">
      <formula>-0.05</formula>
      <formula>0.05</formula>
    </cfRule>
    <cfRule type="cellIs" dxfId="3" priority="4" operator="between">
      <formula>-0.05</formula>
      <formula>0.05</formula>
    </cfRule>
    <cfRule type="cellIs" dxfId="2" priority="1" operator="between">
      <formula>-0.1</formula>
      <formula>0.1</formula>
    </cfRule>
  </conditionalFormatting>
  <conditionalFormatting sqref="X4:X13">
    <cfRule type="cellIs" dxfId="1" priority="18" operator="equal">
      <formula>"""OK"""</formula>
    </cfRule>
    <cfRule type="cellIs" dxfId="0" priority="17" operator="equal">
      <formula>"OK"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559C8-9B3D-45EB-BDB5-CF98C6B1C412}">
  <sheetPr>
    <tabColor rgb="FF00B050"/>
  </sheetPr>
  <dimension ref="A1:F34"/>
  <sheetViews>
    <sheetView workbookViewId="0">
      <selection activeCell="P53" sqref="P53"/>
    </sheetView>
  </sheetViews>
  <sheetFormatPr defaultRowHeight="14.5" x14ac:dyDescent="0.35"/>
  <cols>
    <col min="1" max="1" width="29.453125" customWidth="1"/>
    <col min="2" max="2" width="29.1796875" customWidth="1"/>
    <col min="5" max="5" width="17.453125" bestFit="1" customWidth="1"/>
    <col min="6" max="6" width="30.453125" bestFit="1" customWidth="1"/>
  </cols>
  <sheetData>
    <row r="1" spans="1:3" x14ac:dyDescent="0.35">
      <c r="A1" s="134" t="s">
        <v>214</v>
      </c>
    </row>
    <row r="2" spans="1:3" x14ac:dyDescent="0.35">
      <c r="A2" s="135" t="s">
        <v>215</v>
      </c>
      <c r="B2">
        <f>VS_inputs!D3</f>
        <v>0</v>
      </c>
    </row>
    <row r="3" spans="1:3" x14ac:dyDescent="0.35">
      <c r="A3" s="135" t="s">
        <v>216</v>
      </c>
      <c r="B3">
        <f>VS_inputs!D4</f>
        <v>0</v>
      </c>
    </row>
    <row r="4" spans="1:3" x14ac:dyDescent="0.35">
      <c r="A4" s="135" t="s">
        <v>217</v>
      </c>
      <c r="B4">
        <f>VS_inputs!D5</f>
        <v>0</v>
      </c>
    </row>
    <row r="5" spans="1:3" x14ac:dyDescent="0.35">
      <c r="A5" s="135" t="s">
        <v>218</v>
      </c>
      <c r="B5">
        <f>VS_inputs!D6</f>
        <v>0</v>
      </c>
    </row>
    <row r="6" spans="1:3" x14ac:dyDescent="0.35">
      <c r="A6" s="135" t="s">
        <v>219</v>
      </c>
      <c r="B6" s="136">
        <f>VS_inputs!N3</f>
        <v>0</v>
      </c>
    </row>
    <row r="7" spans="1:3" x14ac:dyDescent="0.35">
      <c r="A7" s="135" t="s">
        <v>220</v>
      </c>
      <c r="B7">
        <f>VS_inputs!N4</f>
        <v>0</v>
      </c>
    </row>
    <row r="8" spans="1:3" x14ac:dyDescent="0.35">
      <c r="A8" s="135" t="s">
        <v>221</v>
      </c>
      <c r="B8">
        <f>VS_inputs!N5</f>
        <v>0</v>
      </c>
    </row>
    <row r="9" spans="1:3" x14ac:dyDescent="0.35">
      <c r="A9" s="135" t="s">
        <v>222</v>
      </c>
      <c r="B9">
        <f>VS_inputs!N15</f>
        <v>0</v>
      </c>
    </row>
    <row r="10" spans="1:3" x14ac:dyDescent="0.35">
      <c r="A10" s="135" t="s">
        <v>223</v>
      </c>
      <c r="B10">
        <f>VS_inputs!N16</f>
        <v>0</v>
      </c>
    </row>
    <row r="11" spans="1:3" x14ac:dyDescent="0.35">
      <c r="A11" s="135" t="s">
        <v>224</v>
      </c>
      <c r="B11">
        <f>VS_inputs!Q8</f>
        <v>0</v>
      </c>
    </row>
    <row r="12" spans="1:3" x14ac:dyDescent="0.35">
      <c r="A12" s="135" t="s">
        <v>225</v>
      </c>
      <c r="B12">
        <f>VS_inputs!H15</f>
        <v>0</v>
      </c>
      <c r="C12" t="s">
        <v>226</v>
      </c>
    </row>
    <row r="13" spans="1:3" x14ac:dyDescent="0.35">
      <c r="A13" s="135" t="s">
        <v>227</v>
      </c>
      <c r="B13">
        <f>VS_inputs!H16</f>
        <v>0</v>
      </c>
      <c r="C13" t="s">
        <v>226</v>
      </c>
    </row>
    <row r="14" spans="1:3" x14ac:dyDescent="0.35">
      <c r="A14" s="135" t="s">
        <v>228</v>
      </c>
      <c r="B14" s="137" t="e">
        <f>VS_inputs!H17</f>
        <v>#DIV/0!</v>
      </c>
      <c r="C14" t="s">
        <v>0</v>
      </c>
    </row>
    <row r="15" spans="1:3" x14ac:dyDescent="0.35">
      <c r="A15" s="135" t="s">
        <v>229</v>
      </c>
      <c r="B15" t="str">
        <f>VS_inputs!L18</f>
        <v>Select</v>
      </c>
    </row>
    <row r="16" spans="1:3" x14ac:dyDescent="0.35">
      <c r="A16" s="135" t="s">
        <v>230</v>
      </c>
      <c r="B16" t="str">
        <f>VS_inputs!L19</f>
        <v>Select</v>
      </c>
    </row>
    <row r="18" spans="1:6" x14ac:dyDescent="0.35">
      <c r="A18" s="138" t="s">
        <v>231</v>
      </c>
    </row>
    <row r="19" spans="1:6" x14ac:dyDescent="0.35">
      <c r="A19" s="139" t="s">
        <v>232</v>
      </c>
      <c r="B19" s="140" t="s">
        <v>147</v>
      </c>
    </row>
    <row r="20" spans="1:6" x14ac:dyDescent="0.35">
      <c r="A20" s="135" t="s">
        <v>233</v>
      </c>
      <c r="B20" s="140" t="s">
        <v>147</v>
      </c>
      <c r="E20" s="141" t="s">
        <v>234</v>
      </c>
      <c r="F20" s="141" t="s">
        <v>235</v>
      </c>
    </row>
    <row r="21" spans="1:6" x14ac:dyDescent="0.35">
      <c r="A21" s="135" t="s">
        <v>236</v>
      </c>
      <c r="B21" t="str">
        <f>VLOOKUP(B20,E21:F29,2,FALSE)</f>
        <v>Select from above dropdown list</v>
      </c>
      <c r="E21" s="142" t="s">
        <v>147</v>
      </c>
      <c r="F21" s="142" t="s">
        <v>237</v>
      </c>
    </row>
    <row r="22" spans="1:6" x14ac:dyDescent="0.35">
      <c r="A22" s="135" t="s">
        <v>238</v>
      </c>
      <c r="B22" s="143">
        <v>44532</v>
      </c>
      <c r="E22" s="142" t="s">
        <v>239</v>
      </c>
      <c r="F22" s="144" t="s">
        <v>240</v>
      </c>
    </row>
    <row r="23" spans="1:6" x14ac:dyDescent="0.35">
      <c r="A23" s="135" t="s">
        <v>241</v>
      </c>
      <c r="B23" s="136">
        <f>WORKDAY(B22,7,)</f>
        <v>44543</v>
      </c>
      <c r="E23" s="142" t="s">
        <v>242</v>
      </c>
      <c r="F23" s="144" t="s">
        <v>243</v>
      </c>
    </row>
    <row r="24" spans="1:6" x14ac:dyDescent="0.35">
      <c r="A24" s="135" t="s">
        <v>244</v>
      </c>
      <c r="B24">
        <f ca="1">B23-TODAY()</f>
        <v>-977</v>
      </c>
      <c r="C24" t="s">
        <v>245</v>
      </c>
      <c r="E24" s="142" t="s">
        <v>246</v>
      </c>
      <c r="F24" s="144" t="s">
        <v>247</v>
      </c>
    </row>
    <row r="25" spans="1:6" x14ac:dyDescent="0.35">
      <c r="E25" s="142" t="s">
        <v>248</v>
      </c>
      <c r="F25" s="144" t="s">
        <v>249</v>
      </c>
    </row>
    <row r="26" spans="1:6" x14ac:dyDescent="0.35">
      <c r="E26" s="142" t="s">
        <v>250</v>
      </c>
      <c r="F26" s="144" t="s">
        <v>251</v>
      </c>
    </row>
    <row r="27" spans="1:6" x14ac:dyDescent="0.35">
      <c r="E27" s="142" t="s">
        <v>252</v>
      </c>
      <c r="F27" s="144" t="s">
        <v>253</v>
      </c>
    </row>
    <row r="28" spans="1:6" x14ac:dyDescent="0.35">
      <c r="E28" s="142" t="s">
        <v>254</v>
      </c>
      <c r="F28" s="142"/>
    </row>
    <row r="29" spans="1:6" x14ac:dyDescent="0.35">
      <c r="E29" s="142" t="s">
        <v>255</v>
      </c>
      <c r="F29" s="142"/>
    </row>
    <row r="31" spans="1:6" x14ac:dyDescent="0.35">
      <c r="E31" s="141" t="s">
        <v>256</v>
      </c>
    </row>
    <row r="32" spans="1:6" x14ac:dyDescent="0.35">
      <c r="E32" s="142" t="s">
        <v>147</v>
      </c>
    </row>
    <row r="33" spans="5:5" x14ac:dyDescent="0.35">
      <c r="E33" s="142" t="s">
        <v>257</v>
      </c>
    </row>
    <row r="34" spans="5:5" x14ac:dyDescent="0.35">
      <c r="E34" s="142" t="s">
        <v>258</v>
      </c>
    </row>
  </sheetData>
  <dataValidations count="2">
    <dataValidation type="list" allowBlank="1" showInputMessage="1" showErrorMessage="1" sqref="B19" xr:uid="{869A8BEE-9147-4A60-8D36-764F032DFD61}">
      <formula1>$E$32:$E$34</formula1>
    </dataValidation>
    <dataValidation type="list" allowBlank="1" showInputMessage="1" showErrorMessage="1" sqref="B20" xr:uid="{A6764B80-A833-4397-9F37-6F440B2C67AF}">
      <formula1>$E$21:$E$29</formula1>
    </dataValidation>
  </dataValidations>
  <hyperlinks>
    <hyperlink ref="F23" r:id="rId1" xr:uid="{3C81D77B-52CD-478F-A458-B73DE1C1826A}"/>
    <hyperlink ref="F22" r:id="rId2" xr:uid="{F67BDD38-675A-4D16-9EAC-B0ED52798447}"/>
    <hyperlink ref="F24" r:id="rId3" xr:uid="{3411DA6B-26FB-41D4-A352-87F589569475}"/>
    <hyperlink ref="F25" r:id="rId4" xr:uid="{D5A7C142-5D63-4F48-9202-5373D3B262E9}"/>
    <hyperlink ref="F26" r:id="rId5" xr:uid="{BCCB5146-8D15-4D98-8FAF-7D86A29F7E12}"/>
    <hyperlink ref="F27" r:id="rId6" xr:uid="{AAB464C4-E2AC-4A41-A8D9-BFC9ED2E6030}"/>
  </hyperlinks>
  <pageMargins left="0.7" right="0.7" top="0.75" bottom="0.75" header="0.3" footer="0.3"/>
  <pageSetup paperSize="9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"/>
  <sheetViews>
    <sheetView workbookViewId="0">
      <selection activeCell="C5" sqref="C5"/>
    </sheetView>
  </sheetViews>
  <sheetFormatPr defaultRowHeight="14.5" x14ac:dyDescent="0.35"/>
  <cols>
    <col min="1" max="1" width="18.26953125" bestFit="1" customWidth="1"/>
    <col min="2" max="2" width="16.26953125" customWidth="1"/>
    <col min="3" max="5" width="12.81640625" customWidth="1"/>
    <col min="6" max="6" width="9.1796875" customWidth="1"/>
  </cols>
  <sheetData>
    <row r="1" spans="1:5" x14ac:dyDescent="0.35">
      <c r="A1" s="27" t="s">
        <v>17</v>
      </c>
      <c r="B1" s="22" t="s">
        <v>148</v>
      </c>
      <c r="C1" s="91" t="s">
        <v>159</v>
      </c>
    </row>
    <row r="2" spans="1:5" x14ac:dyDescent="0.35">
      <c r="A2" s="9" t="s">
        <v>147</v>
      </c>
      <c r="B2" t="s">
        <v>147</v>
      </c>
      <c r="C2" s="92" t="s">
        <v>147</v>
      </c>
    </row>
    <row r="3" spans="1:5" x14ac:dyDescent="0.35">
      <c r="A3" s="9" t="s">
        <v>29</v>
      </c>
      <c r="B3" t="s">
        <v>149</v>
      </c>
      <c r="C3" s="92" t="s">
        <v>160</v>
      </c>
    </row>
    <row r="4" spans="1:5" x14ac:dyDescent="0.35">
      <c r="A4" s="9" t="s">
        <v>31</v>
      </c>
      <c r="B4" t="s">
        <v>150</v>
      </c>
      <c r="C4" s="92" t="s">
        <v>162</v>
      </c>
    </row>
    <row r="5" spans="1:5" ht="15" thickBot="1" x14ac:dyDescent="0.4">
      <c r="A5" s="26" t="s">
        <v>32</v>
      </c>
      <c r="C5" s="92" t="s">
        <v>161</v>
      </c>
    </row>
    <row r="6" spans="1:5" x14ac:dyDescent="0.35">
      <c r="A6" s="5"/>
      <c r="B6" s="6"/>
      <c r="C6" s="6"/>
      <c r="D6" s="6"/>
      <c r="E6" s="7"/>
    </row>
    <row r="7" spans="1:5" x14ac:dyDescent="0.35">
      <c r="A7" s="8"/>
      <c r="E7" s="9"/>
    </row>
    <row r="8" spans="1:5" x14ac:dyDescent="0.35">
      <c r="A8" s="8"/>
      <c r="E8" s="9"/>
    </row>
    <row r="9" spans="1:5" x14ac:dyDescent="0.35">
      <c r="A9" s="8"/>
      <c r="E9" s="9"/>
    </row>
    <row r="10" spans="1:5" x14ac:dyDescent="0.35">
      <c r="A10" s="8"/>
      <c r="E10" s="9"/>
    </row>
    <row r="11" spans="1:5" x14ac:dyDescent="0.35">
      <c r="A11" s="8"/>
      <c r="E11" s="9"/>
    </row>
    <row r="12" spans="1:5" x14ac:dyDescent="0.35">
      <c r="A12" s="8"/>
      <c r="E12" s="9"/>
    </row>
    <row r="13" spans="1:5" x14ac:dyDescent="0.35">
      <c r="A13" s="8"/>
      <c r="E13" s="9"/>
    </row>
    <row r="14" spans="1:5" x14ac:dyDescent="0.35">
      <c r="A14" s="8"/>
      <c r="E14" s="9"/>
    </row>
    <row r="15" spans="1:5" x14ac:dyDescent="0.35">
      <c r="A15" s="8"/>
      <c r="E15" s="9"/>
    </row>
    <row r="16" spans="1:5" x14ac:dyDescent="0.35">
      <c r="A16" s="8"/>
      <c r="E16" s="9"/>
    </row>
    <row r="17" spans="1:5" x14ac:dyDescent="0.35">
      <c r="A17" s="8"/>
      <c r="E17" s="9"/>
    </row>
    <row r="18" spans="1:5" x14ac:dyDescent="0.35">
      <c r="A18" s="10" t="s">
        <v>19</v>
      </c>
      <c r="E18" s="9"/>
    </row>
    <row r="19" spans="1:5" x14ac:dyDescent="0.35">
      <c r="A19" s="8" t="s">
        <v>3</v>
      </c>
      <c r="B19" t="e">
        <f>#REF!</f>
        <v>#REF!</v>
      </c>
      <c r="E19" s="9"/>
    </row>
    <row r="20" spans="1:5" x14ac:dyDescent="0.35">
      <c r="A20" s="8" t="s">
        <v>1</v>
      </c>
      <c r="B20" t="e">
        <f>#REF!</f>
        <v>#REF!</v>
      </c>
      <c r="E20" s="9"/>
    </row>
    <row r="21" spans="1:5" ht="16.5" x14ac:dyDescent="0.45">
      <c r="A21" s="8" t="s">
        <v>26</v>
      </c>
      <c r="B21" s="11" t="e">
        <f>#REF!</f>
        <v>#REF!</v>
      </c>
      <c r="E21" s="9"/>
    </row>
    <row r="22" spans="1:5" x14ac:dyDescent="0.35">
      <c r="A22" s="8"/>
      <c r="E22" s="9"/>
    </row>
    <row r="23" spans="1:5" ht="30" x14ac:dyDescent="0.45">
      <c r="A23" s="12" t="s">
        <v>21</v>
      </c>
      <c r="B23" s="13" t="s">
        <v>20</v>
      </c>
      <c r="C23" s="13" t="s">
        <v>23</v>
      </c>
      <c r="D23" s="13" t="s">
        <v>24</v>
      </c>
      <c r="E23" s="14" t="s">
        <v>25</v>
      </c>
    </row>
    <row r="24" spans="1:5" x14ac:dyDescent="0.35">
      <c r="A24" s="8">
        <v>5</v>
      </c>
      <c r="B24">
        <v>79.400000000000006</v>
      </c>
      <c r="C24" s="15" t="e">
        <f>$B$19*$B$20*B24/360</f>
        <v>#REF!</v>
      </c>
      <c r="D24" s="11" t="e">
        <f>$B$21</f>
        <v>#REF!</v>
      </c>
      <c r="E24" s="16" t="e">
        <f t="shared" ref="E24:E35" si="0">(C24-D24)*A24*60</f>
        <v>#REF!</v>
      </c>
    </row>
    <row r="25" spans="1:5" x14ac:dyDescent="0.35">
      <c r="A25" s="8">
        <v>10</v>
      </c>
      <c r="B25">
        <v>72</v>
      </c>
      <c r="C25" s="15" t="e">
        <f t="shared" ref="C25:C35" si="1">$B$19*$B$20*B25/360</f>
        <v>#REF!</v>
      </c>
      <c r="D25" s="11" t="e">
        <f t="shared" ref="D25:D35" si="2">$B$21</f>
        <v>#REF!</v>
      </c>
      <c r="E25" s="16" t="e">
        <f t="shared" si="0"/>
        <v>#REF!</v>
      </c>
    </row>
    <row r="26" spans="1:5" x14ac:dyDescent="0.35">
      <c r="A26" s="8">
        <v>15</v>
      </c>
      <c r="B26">
        <v>65.8</v>
      </c>
      <c r="C26" s="15" t="e">
        <f t="shared" si="1"/>
        <v>#REF!</v>
      </c>
      <c r="D26" s="11" t="e">
        <f t="shared" si="2"/>
        <v>#REF!</v>
      </c>
      <c r="E26" s="16" t="e">
        <f t="shared" si="0"/>
        <v>#REF!</v>
      </c>
    </row>
    <row r="27" spans="1:5" x14ac:dyDescent="0.35">
      <c r="A27" s="8">
        <v>30</v>
      </c>
      <c r="B27">
        <v>52.4</v>
      </c>
      <c r="C27" s="15" t="e">
        <f t="shared" si="1"/>
        <v>#REF!</v>
      </c>
      <c r="D27" s="11" t="e">
        <f t="shared" si="2"/>
        <v>#REF!</v>
      </c>
      <c r="E27" s="16" t="e">
        <f t="shared" si="0"/>
        <v>#REF!</v>
      </c>
    </row>
    <row r="28" spans="1:5" x14ac:dyDescent="0.35">
      <c r="A28" s="17">
        <v>60</v>
      </c>
      <c r="B28" s="18">
        <v>37.200000000000003</v>
      </c>
      <c r="C28" s="19" t="e">
        <f t="shared" si="1"/>
        <v>#REF!</v>
      </c>
      <c r="D28" s="20" t="e">
        <f t="shared" si="2"/>
        <v>#REF!</v>
      </c>
      <c r="E28" s="21" t="e">
        <f t="shared" si="0"/>
        <v>#REF!</v>
      </c>
    </row>
    <row r="29" spans="1:5" x14ac:dyDescent="0.35">
      <c r="A29" s="8">
        <v>90</v>
      </c>
      <c r="B29">
        <v>28.8</v>
      </c>
      <c r="C29" s="15" t="e">
        <f t="shared" si="1"/>
        <v>#REF!</v>
      </c>
      <c r="D29" s="11" t="e">
        <f t="shared" si="2"/>
        <v>#REF!</v>
      </c>
      <c r="E29" s="16" t="e">
        <f t="shared" si="0"/>
        <v>#REF!</v>
      </c>
    </row>
    <row r="30" spans="1:5" x14ac:dyDescent="0.35">
      <c r="A30" s="8">
        <v>120</v>
      </c>
      <c r="B30">
        <v>23.5</v>
      </c>
      <c r="C30" s="15" t="e">
        <f t="shared" si="1"/>
        <v>#REF!</v>
      </c>
      <c r="D30" s="11" t="e">
        <f t="shared" si="2"/>
        <v>#REF!</v>
      </c>
      <c r="E30" s="16" t="e">
        <f t="shared" si="0"/>
        <v>#REF!</v>
      </c>
    </row>
    <row r="31" spans="1:5" x14ac:dyDescent="0.35">
      <c r="A31" s="8">
        <v>180</v>
      </c>
      <c r="B31">
        <v>17.2</v>
      </c>
      <c r="C31" s="15" t="e">
        <f t="shared" si="1"/>
        <v>#REF!</v>
      </c>
      <c r="D31" s="11" t="e">
        <f t="shared" si="2"/>
        <v>#REF!</v>
      </c>
      <c r="E31" s="16" t="e">
        <f t="shared" si="0"/>
        <v>#REF!</v>
      </c>
    </row>
    <row r="32" spans="1:5" x14ac:dyDescent="0.35">
      <c r="A32" s="8">
        <v>240</v>
      </c>
      <c r="B32">
        <v>13.6</v>
      </c>
      <c r="C32" s="15" t="e">
        <f t="shared" si="1"/>
        <v>#REF!</v>
      </c>
      <c r="D32" s="11" t="e">
        <f t="shared" si="2"/>
        <v>#REF!</v>
      </c>
      <c r="E32" s="16" t="e">
        <f t="shared" si="0"/>
        <v>#REF!</v>
      </c>
    </row>
    <row r="33" spans="1:5" x14ac:dyDescent="0.35">
      <c r="A33" s="8">
        <v>300</v>
      </c>
      <c r="B33">
        <v>11.2</v>
      </c>
      <c r="C33" s="15" t="e">
        <f t="shared" si="1"/>
        <v>#REF!</v>
      </c>
      <c r="D33" s="11" t="e">
        <f t="shared" si="2"/>
        <v>#REF!</v>
      </c>
      <c r="E33" s="16" t="e">
        <f t="shared" si="0"/>
        <v>#REF!</v>
      </c>
    </row>
    <row r="34" spans="1:5" x14ac:dyDescent="0.35">
      <c r="A34" s="8">
        <v>360</v>
      </c>
      <c r="B34">
        <v>9.5</v>
      </c>
      <c r="C34" s="15" t="e">
        <f t="shared" si="1"/>
        <v>#REF!</v>
      </c>
      <c r="D34" s="11" t="e">
        <f t="shared" si="2"/>
        <v>#REF!</v>
      </c>
      <c r="E34" s="16" t="e">
        <f t="shared" si="0"/>
        <v>#REF!</v>
      </c>
    </row>
    <row r="35" spans="1:5" x14ac:dyDescent="0.35">
      <c r="A35" s="8">
        <v>720</v>
      </c>
      <c r="B35">
        <v>5</v>
      </c>
      <c r="C35" s="15" t="e">
        <f t="shared" si="1"/>
        <v>#REF!</v>
      </c>
      <c r="D35" s="11" t="e">
        <f t="shared" si="2"/>
        <v>#REF!</v>
      </c>
      <c r="E35" s="16" t="e">
        <f t="shared" si="0"/>
        <v>#REF!</v>
      </c>
    </row>
    <row r="36" spans="1:5" x14ac:dyDescent="0.35">
      <c r="A36" s="8"/>
      <c r="D36" s="22" t="s">
        <v>22</v>
      </c>
      <c r="E36" s="23" t="e">
        <f>MAX(E24:E35)</f>
        <v>#REF!</v>
      </c>
    </row>
    <row r="37" spans="1:5" x14ac:dyDescent="0.35">
      <c r="A37" s="8"/>
      <c r="E37" s="9"/>
    </row>
    <row r="38" spans="1:5" x14ac:dyDescent="0.35">
      <c r="A38" s="10" t="s">
        <v>18</v>
      </c>
      <c r="E38" s="9"/>
    </row>
    <row r="39" spans="1:5" x14ac:dyDescent="0.35">
      <c r="A39" s="8" t="s">
        <v>3</v>
      </c>
      <c r="B39" t="e">
        <f>#REF!</f>
        <v>#REF!</v>
      </c>
      <c r="E39" s="9"/>
    </row>
    <row r="40" spans="1:5" x14ac:dyDescent="0.35">
      <c r="A40" s="8" t="s">
        <v>1</v>
      </c>
      <c r="B40" t="e">
        <f>#REF!</f>
        <v>#REF!</v>
      </c>
      <c r="E40" s="9"/>
    </row>
    <row r="41" spans="1:5" ht="16.5" x14ac:dyDescent="0.45">
      <c r="A41" s="8" t="s">
        <v>26</v>
      </c>
      <c r="B41" s="11" t="e">
        <f>#REF!</f>
        <v>#REF!</v>
      </c>
      <c r="E41" s="9"/>
    </row>
    <row r="42" spans="1:5" x14ac:dyDescent="0.35">
      <c r="A42" s="8"/>
      <c r="E42" s="9"/>
    </row>
    <row r="43" spans="1:5" ht="30" x14ac:dyDescent="0.45">
      <c r="A43" s="12" t="s">
        <v>21</v>
      </c>
      <c r="B43" s="13" t="s">
        <v>20</v>
      </c>
      <c r="C43" s="13" t="s">
        <v>23</v>
      </c>
      <c r="D43" s="13" t="s">
        <v>24</v>
      </c>
      <c r="E43" s="14" t="s">
        <v>25</v>
      </c>
    </row>
    <row r="44" spans="1:5" x14ac:dyDescent="0.35">
      <c r="A44" s="8">
        <v>5</v>
      </c>
      <c r="B44">
        <v>79.400000000000006</v>
      </c>
      <c r="C44" s="15" t="e">
        <f>$B$39*$B$40*B44/360</f>
        <v>#REF!</v>
      </c>
      <c r="D44" s="11" t="e">
        <f>$B$41</f>
        <v>#REF!</v>
      </c>
      <c r="E44" s="16" t="e">
        <f t="shared" ref="E44:E55" si="3">(C44-D44)*A44*60</f>
        <v>#REF!</v>
      </c>
    </row>
    <row r="45" spans="1:5" x14ac:dyDescent="0.35">
      <c r="A45" s="8">
        <v>10</v>
      </c>
      <c r="B45">
        <v>72</v>
      </c>
      <c r="C45" s="15" t="e">
        <f t="shared" ref="C45:C55" si="4">$B$39*$B$40*B45/360</f>
        <v>#REF!</v>
      </c>
      <c r="D45" s="11" t="e">
        <f t="shared" ref="D45:D55" si="5">$B$41</f>
        <v>#REF!</v>
      </c>
      <c r="E45" s="16" t="e">
        <f t="shared" si="3"/>
        <v>#REF!</v>
      </c>
    </row>
    <row r="46" spans="1:5" x14ac:dyDescent="0.35">
      <c r="A46" s="8">
        <v>15</v>
      </c>
      <c r="B46">
        <v>65.8</v>
      </c>
      <c r="C46" s="15" t="e">
        <f t="shared" si="4"/>
        <v>#REF!</v>
      </c>
      <c r="D46" s="11" t="e">
        <f t="shared" si="5"/>
        <v>#REF!</v>
      </c>
      <c r="E46" s="16" t="e">
        <f t="shared" si="3"/>
        <v>#REF!</v>
      </c>
    </row>
    <row r="47" spans="1:5" x14ac:dyDescent="0.35">
      <c r="A47" s="8">
        <v>30</v>
      </c>
      <c r="B47">
        <v>52.4</v>
      </c>
      <c r="C47" s="15" t="e">
        <f t="shared" si="4"/>
        <v>#REF!</v>
      </c>
      <c r="D47" s="11" t="e">
        <f t="shared" si="5"/>
        <v>#REF!</v>
      </c>
      <c r="E47" s="16" t="e">
        <f t="shared" si="3"/>
        <v>#REF!</v>
      </c>
    </row>
    <row r="48" spans="1:5" x14ac:dyDescent="0.35">
      <c r="A48" s="17">
        <v>60</v>
      </c>
      <c r="B48" s="18">
        <v>37.200000000000003</v>
      </c>
      <c r="C48" s="19" t="e">
        <f t="shared" si="4"/>
        <v>#REF!</v>
      </c>
      <c r="D48" s="20" t="e">
        <f t="shared" si="5"/>
        <v>#REF!</v>
      </c>
      <c r="E48" s="21" t="e">
        <f t="shared" si="3"/>
        <v>#REF!</v>
      </c>
    </row>
    <row r="49" spans="1:5" x14ac:dyDescent="0.35">
      <c r="A49" s="8">
        <v>90</v>
      </c>
      <c r="B49">
        <v>28.8</v>
      </c>
      <c r="C49" s="15" t="e">
        <f t="shared" si="4"/>
        <v>#REF!</v>
      </c>
      <c r="D49" s="11" t="e">
        <f t="shared" si="5"/>
        <v>#REF!</v>
      </c>
      <c r="E49" s="16" t="e">
        <f t="shared" si="3"/>
        <v>#REF!</v>
      </c>
    </row>
    <row r="50" spans="1:5" x14ac:dyDescent="0.35">
      <c r="A50" s="8">
        <v>120</v>
      </c>
      <c r="B50">
        <v>23.5</v>
      </c>
      <c r="C50" s="15" t="e">
        <f t="shared" si="4"/>
        <v>#REF!</v>
      </c>
      <c r="D50" s="11" t="e">
        <f t="shared" si="5"/>
        <v>#REF!</v>
      </c>
      <c r="E50" s="16" t="e">
        <f t="shared" si="3"/>
        <v>#REF!</v>
      </c>
    </row>
    <row r="51" spans="1:5" x14ac:dyDescent="0.35">
      <c r="A51" s="8">
        <v>180</v>
      </c>
      <c r="B51">
        <v>17.2</v>
      </c>
      <c r="C51" s="15" t="e">
        <f t="shared" si="4"/>
        <v>#REF!</v>
      </c>
      <c r="D51" s="11" t="e">
        <f t="shared" si="5"/>
        <v>#REF!</v>
      </c>
      <c r="E51" s="16" t="e">
        <f t="shared" si="3"/>
        <v>#REF!</v>
      </c>
    </row>
    <row r="52" spans="1:5" x14ac:dyDescent="0.35">
      <c r="A52" s="8">
        <v>240</v>
      </c>
      <c r="B52">
        <v>13.6</v>
      </c>
      <c r="C52" s="15" t="e">
        <f t="shared" si="4"/>
        <v>#REF!</v>
      </c>
      <c r="D52" s="11" t="e">
        <f t="shared" si="5"/>
        <v>#REF!</v>
      </c>
      <c r="E52" s="16" t="e">
        <f t="shared" si="3"/>
        <v>#REF!</v>
      </c>
    </row>
    <row r="53" spans="1:5" x14ac:dyDescent="0.35">
      <c r="A53" s="8">
        <v>300</v>
      </c>
      <c r="B53">
        <v>11.2</v>
      </c>
      <c r="C53" s="15" t="e">
        <f t="shared" si="4"/>
        <v>#REF!</v>
      </c>
      <c r="D53" s="11" t="e">
        <f t="shared" si="5"/>
        <v>#REF!</v>
      </c>
      <c r="E53" s="16" t="e">
        <f t="shared" si="3"/>
        <v>#REF!</v>
      </c>
    </row>
    <row r="54" spans="1:5" x14ac:dyDescent="0.35">
      <c r="A54" s="8">
        <v>360</v>
      </c>
      <c r="B54">
        <v>9.5</v>
      </c>
      <c r="C54" s="15" t="e">
        <f t="shared" si="4"/>
        <v>#REF!</v>
      </c>
      <c r="D54" s="11" t="e">
        <f t="shared" si="5"/>
        <v>#REF!</v>
      </c>
      <c r="E54" s="16" t="e">
        <f t="shared" si="3"/>
        <v>#REF!</v>
      </c>
    </row>
    <row r="55" spans="1:5" x14ac:dyDescent="0.35">
      <c r="A55" s="8">
        <v>720</v>
      </c>
      <c r="B55">
        <v>5</v>
      </c>
      <c r="C55" s="15" t="e">
        <f t="shared" si="4"/>
        <v>#REF!</v>
      </c>
      <c r="D55" s="11" t="e">
        <f t="shared" si="5"/>
        <v>#REF!</v>
      </c>
      <c r="E55" s="16" t="e">
        <f t="shared" si="3"/>
        <v>#REF!</v>
      </c>
    </row>
    <row r="56" spans="1:5" x14ac:dyDescent="0.35">
      <c r="A56" s="8"/>
      <c r="D56" s="22" t="s">
        <v>22</v>
      </c>
      <c r="E56" s="23" t="e">
        <f>MAX(E44:E55)</f>
        <v>#REF!</v>
      </c>
    </row>
    <row r="57" spans="1:5" ht="15" thickBot="1" x14ac:dyDescent="0.4">
      <c r="A57" s="24"/>
      <c r="B57" s="25"/>
      <c r="C57" s="25"/>
      <c r="D57" s="25"/>
      <c r="E57" s="2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VS_inputs</vt:lpstr>
      <vt:lpstr>VS_backend</vt:lpstr>
      <vt:lpstr>VS_report</vt:lpstr>
      <vt:lpstr>Qlik</vt:lpstr>
      <vt:lpstr>For inputlist</vt:lpstr>
      <vt:lpstr>VS_inputs!Print_Area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Lim, Hong Yi</dc:creator>
  <cp:lastModifiedBy>Aina Filza ABDULLAH (PUB)</cp:lastModifiedBy>
  <cp:lastPrinted>2021-01-15T07:15:48Z</cp:lastPrinted>
  <dcterms:created xsi:type="dcterms:W3CDTF">2015-10-12T04:37:51Z</dcterms:created>
  <dcterms:modified xsi:type="dcterms:W3CDTF">2024-08-16T02:29:05Z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2024-08-16T02:29:03Z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2bb01487-3fb1-41b2-84e3-3c3eecf7a3d8</vt:lpwstr>
  </property>
  <property fmtid="{D5CDD505-2E9C-101B-9397-08002B2CF9AE}" pid="8" name="MSIP_Label_5434c4c7-833e-41e4-b0ab-cdb227a2f6f7_ContentBits">
    <vt:lpwstr>0</vt:lpwstr>
  </property>
</Properties>
</file>